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185" tabRatio="564" activeTab="0"/>
  </bookViews>
  <sheets>
    <sheet name="H(R+S+L)" sheetId="1" r:id="rId1"/>
    <sheet name="Moore" sheetId="2" r:id="rId2"/>
    <sheet name="Error; PGB - Moore" sheetId="3" r:id="rId3"/>
    <sheet name="Hyperfine" sheetId="4" r:id="rId4"/>
  </sheets>
  <definedNames>
    <definedName name="_xlnm.Print_Area" localSheetId="2">'Error; PGB - Moore'!$G$6:$BH$78</definedName>
    <definedName name="_xlnm.Print_Area" localSheetId="0">'H(R+S+L)'!$C$11:$BK$79</definedName>
    <definedName name="_xlnm.Print_Area" localSheetId="3">'Hyperfine'!$D$11:$AH$34</definedName>
  </definedNames>
  <calcPr fullCalcOnLoad="1"/>
</workbook>
</file>

<file path=xl/sharedStrings.xml><?xml version="1.0" encoding="utf-8"?>
<sst xmlns="http://schemas.openxmlformats.org/spreadsheetml/2006/main" count="669" uniqueCount="197">
  <si>
    <t xml:space="preserve">n </t>
  </si>
  <si>
    <t>ergs</t>
  </si>
  <si>
    <r>
      <t>cm</t>
    </r>
    <r>
      <rPr>
        <b/>
        <vertAlign val="superscript"/>
        <sz val="10"/>
        <rFont val="Arial"/>
        <family val="2"/>
      </rPr>
      <t>-1</t>
    </r>
  </si>
  <si>
    <t>n</t>
  </si>
  <si>
    <t>s</t>
  </si>
  <si>
    <t>p</t>
  </si>
  <si>
    <t>h</t>
  </si>
  <si>
    <t>s(+)</t>
  </si>
  <si>
    <t>p(+)</t>
  </si>
  <si>
    <t>p(-)</t>
  </si>
  <si>
    <t>d(+)</t>
  </si>
  <si>
    <t>d(-)</t>
  </si>
  <si>
    <t>f(+)</t>
  </si>
  <si>
    <t>f(-)</t>
  </si>
  <si>
    <t>g(+)</t>
  </si>
  <si>
    <t>g(-)</t>
  </si>
  <si>
    <t>h(+)</t>
  </si>
  <si>
    <t>h(-)</t>
  </si>
  <si>
    <t>i(+)</t>
  </si>
  <si>
    <t>i(-)</t>
  </si>
  <si>
    <t>Calculation of Atomic Structure Energy Levels</t>
  </si>
  <si>
    <t>Element:-</t>
  </si>
  <si>
    <t>Hydrogen</t>
  </si>
  <si>
    <t>Numbers
Used:-</t>
  </si>
  <si>
    <t xml:space="preserve"> = Planck's Constant - ergsecs</t>
  </si>
  <si>
    <t>Z</t>
  </si>
  <si>
    <t xml:space="preserve"> = Atomic Number</t>
  </si>
  <si>
    <t>c</t>
  </si>
  <si>
    <t>All Spectra are in Angstroms</t>
  </si>
  <si>
    <t>A</t>
  </si>
  <si>
    <t xml:space="preserve"> = Angstroms/cm</t>
  </si>
  <si>
    <t>e</t>
  </si>
  <si>
    <t>From</t>
  </si>
  <si>
    <t>Actual</t>
  </si>
  <si>
    <t>Proton Mass</t>
  </si>
  <si>
    <t>Electron Mass</t>
  </si>
  <si>
    <t>Principle</t>
  </si>
  <si>
    <t>q.n.</t>
  </si>
  <si>
    <r>
      <t>n*</t>
    </r>
    <r>
      <rPr>
        <b/>
        <vertAlign val="subscript"/>
        <sz val="10"/>
        <rFont val="Symbol"/>
        <family val="1"/>
      </rPr>
      <t>f</t>
    </r>
  </si>
  <si>
    <t>Wave Number Converter</t>
  </si>
  <si>
    <t>Number</t>
  </si>
  <si>
    <t>Length</t>
  </si>
  <si>
    <t>Wave Length Converter</t>
  </si>
  <si>
    <t>k</t>
  </si>
  <si>
    <t xml:space="preserve"> = Electronic Charge - esu</t>
  </si>
  <si>
    <t xml:space="preserve">Azimuthal </t>
  </si>
  <si>
    <t>Spin</t>
  </si>
  <si>
    <t>Spin Up</t>
  </si>
  <si>
    <t>Spin Down</t>
  </si>
  <si>
    <t>Elliptical Orbits - Corrected for Relativistic Increase in Mass,</t>
  </si>
  <si>
    <t>Spin - Orbit Magnetic Coupling and the Lamb Shift.</t>
  </si>
  <si>
    <t>Proton Radius</t>
  </si>
  <si>
    <t>Green = Agreement with C.E.Moore</t>
  </si>
  <si>
    <t xml:space="preserve"> = Velocity of Light at Earth's Surface - cm/sec</t>
  </si>
  <si>
    <t>Bold = Shown in C.E.Moore</t>
  </si>
  <si>
    <t>Lamb Shift {2s(+)-2p(-)} in c/s</t>
  </si>
  <si>
    <t>Mc/s</t>
  </si>
  <si>
    <t>Blue = Divided by Air Refractive Index =</t>
  </si>
  <si>
    <t>Size and Radius Factors</t>
  </si>
  <si>
    <r>
      <t>n</t>
    </r>
    <r>
      <rPr>
        <b/>
        <vertAlign val="subscript"/>
        <sz val="10"/>
        <rFont val="Arial"/>
        <family val="2"/>
      </rPr>
      <t>j</t>
    </r>
  </si>
  <si>
    <t>Correction for Proton Dynamic Radius Vector</t>
  </si>
  <si>
    <t>k(+)</t>
  </si>
  <si>
    <t>k(-)</t>
  </si>
  <si>
    <t>To</t>
  </si>
  <si>
    <t>A.R.I</t>
  </si>
  <si>
    <t>Orbital</t>
  </si>
  <si>
    <t>Spin Values</t>
  </si>
  <si>
    <t>+</t>
  </si>
  <si>
    <t>Reduced Mass</t>
  </si>
  <si>
    <t>m</t>
  </si>
  <si>
    <r>
      <t>m</t>
    </r>
    <r>
      <rPr>
        <i/>
        <vertAlign val="subscript"/>
        <sz val="10"/>
        <rFont val="Times New Roman"/>
        <family val="1"/>
      </rPr>
      <t>p</t>
    </r>
  </si>
  <si>
    <r>
      <t>m</t>
    </r>
    <r>
      <rPr>
        <i/>
        <vertAlign val="subscript"/>
        <sz val="10"/>
        <rFont val="Times New Roman"/>
        <family val="1"/>
      </rPr>
      <t>e</t>
    </r>
  </si>
  <si>
    <t>1/k</t>
  </si>
  <si>
    <t>Spin q.n.</t>
  </si>
  <si>
    <r>
      <t>e</t>
    </r>
    <r>
      <rPr>
        <b/>
        <sz val="10"/>
        <rFont val="Arial"/>
        <family val="0"/>
      </rPr>
      <t>n</t>
    </r>
    <r>
      <rPr>
        <b/>
        <vertAlign val="subscript"/>
        <sz val="10"/>
        <rFont val="Arial"/>
        <family val="2"/>
      </rPr>
      <t>sp</t>
    </r>
  </si>
  <si>
    <t>Proton</t>
  </si>
  <si>
    <r>
      <t>p</t>
    </r>
    <r>
      <rPr>
        <b/>
        <sz val="10"/>
        <rFont val="Arial"/>
        <family val="0"/>
      </rPr>
      <t>n</t>
    </r>
    <r>
      <rPr>
        <b/>
        <vertAlign val="subscript"/>
        <sz val="10"/>
        <rFont val="Arial"/>
        <family val="2"/>
      </rPr>
      <t>sp</t>
    </r>
  </si>
  <si>
    <r>
      <t>g</t>
    </r>
    <r>
      <rPr>
        <vertAlign val="subscript"/>
        <sz val="11"/>
        <rFont val="Arial"/>
        <family val="2"/>
      </rPr>
      <t>p</t>
    </r>
  </si>
  <si>
    <r>
      <t>d</t>
    </r>
    <r>
      <rPr>
        <vertAlign val="subscript"/>
        <sz val="10"/>
        <rFont val="Arial"/>
        <family val="2"/>
      </rPr>
      <t>p</t>
    </r>
  </si>
  <si>
    <r>
      <t xml:space="preserve">Correction for Electron Matter 
Wave Radius - </t>
    </r>
    <r>
      <rPr>
        <b/>
        <sz val="8"/>
        <rFont val="Symbol"/>
        <family val="1"/>
      </rPr>
      <t>G</t>
    </r>
    <r>
      <rPr>
        <b/>
        <vertAlign val="subscript"/>
        <sz val="8"/>
        <rFont val="Arial"/>
        <family val="2"/>
      </rPr>
      <t>e</t>
    </r>
  </si>
  <si>
    <r>
      <t xml:space="preserve">Electron Matter Wave Radius - </t>
    </r>
    <r>
      <rPr>
        <b/>
        <sz val="8"/>
        <rFont val="Symbol"/>
        <family val="1"/>
      </rPr>
      <t>G</t>
    </r>
    <r>
      <rPr>
        <b/>
        <vertAlign val="subscript"/>
        <sz val="8"/>
        <rFont val="Arial"/>
        <family val="2"/>
      </rPr>
      <t>e</t>
    </r>
  </si>
  <si>
    <r>
      <t xml:space="preserve">Orbital Energy - </t>
    </r>
    <r>
      <rPr>
        <b/>
        <i/>
        <sz val="10"/>
        <rFont val="Arial"/>
        <family val="2"/>
      </rPr>
      <t>E</t>
    </r>
    <r>
      <rPr>
        <b/>
        <i/>
        <vertAlign val="subscript"/>
        <sz val="10"/>
        <rFont val="Arial"/>
        <family val="2"/>
      </rPr>
      <t>OR</t>
    </r>
  </si>
  <si>
    <r>
      <t>n</t>
    </r>
    <r>
      <rPr>
        <b/>
        <sz val="10"/>
        <rFont val="Arial"/>
        <family val="2"/>
      </rPr>
      <t>*</t>
    </r>
    <r>
      <rPr>
        <b/>
        <vertAlign val="subscript"/>
        <sz val="10"/>
        <rFont val="Symbol"/>
        <family val="1"/>
      </rPr>
      <t>f</t>
    </r>
  </si>
  <si>
    <r>
      <t>n</t>
    </r>
    <r>
      <rPr>
        <b/>
        <sz val="10"/>
        <rFont val="Arial"/>
        <family val="0"/>
      </rPr>
      <t xml:space="preserve"> </t>
    </r>
  </si>
  <si>
    <r>
      <t>n*</t>
    </r>
    <r>
      <rPr>
        <b/>
        <i/>
        <vertAlign val="subscript"/>
        <sz val="10"/>
        <rFont val="Arial"/>
        <family val="2"/>
      </rPr>
      <t>f</t>
    </r>
  </si>
  <si>
    <t>This Sheet Depicts the Comparable Data from P4 Reference [5]</t>
  </si>
  <si>
    <t>The energy levels for n = 7 and 8 are summarised in Moore and have been linearly interpolated here to enable a direct comparison).</t>
  </si>
  <si>
    <t>(The Spectral Wavelengths for n = 7 and 8 in Moore are not differenciated between Orbitals and therefore the same value has been entered for each permitted transition).</t>
  </si>
  <si>
    <t>External
Space Energy
factor</t>
  </si>
  <si>
    <t>External Space Energy</t>
  </si>
  <si>
    <t xml:space="preserve">            To
     From</t>
  </si>
  <si>
    <r>
      <t xml:space="preserve">Orbital Energy
  </t>
    </r>
    <r>
      <rPr>
        <b/>
        <i/>
        <sz val="10"/>
        <rFont val="Arial"/>
        <family val="2"/>
      </rPr>
      <t>E</t>
    </r>
    <r>
      <rPr>
        <b/>
        <i/>
        <vertAlign val="subscript"/>
        <sz val="10"/>
        <rFont val="Arial"/>
        <family val="2"/>
      </rPr>
      <t>OR</t>
    </r>
  </si>
  <si>
    <r>
      <t>G</t>
    </r>
    <r>
      <rPr>
        <i/>
        <vertAlign val="subscript"/>
        <sz val="10"/>
        <rFont val="Times New Roman"/>
        <family val="1"/>
      </rPr>
      <t>p</t>
    </r>
  </si>
  <si>
    <t xml:space="preserve">          To 
 From</t>
  </si>
  <si>
    <t xml:space="preserve">                   To
     From</t>
  </si>
  <si>
    <t>Wavelength</t>
  </si>
  <si>
    <r>
      <t>n</t>
    </r>
    <r>
      <rPr>
        <b/>
        <i/>
        <vertAlign val="subscript"/>
        <sz val="10"/>
        <rFont val="Arial"/>
        <family val="2"/>
      </rPr>
      <t>j</t>
    </r>
  </si>
  <si>
    <r>
      <t>n*</t>
    </r>
    <r>
      <rPr>
        <b/>
        <i/>
        <vertAlign val="subscript"/>
        <sz val="10"/>
        <rFont val="Symbol"/>
        <family val="1"/>
      </rPr>
      <t>f</t>
    </r>
  </si>
  <si>
    <t>8,2</t>
  </si>
  <si>
    <t>7,2</t>
  </si>
  <si>
    <t>6,2</t>
  </si>
  <si>
    <t>5,2</t>
  </si>
  <si>
    <t>4,2</t>
  </si>
  <si>
    <t>3,2</t>
  </si>
  <si>
    <t>8,3</t>
  </si>
  <si>
    <t>7,3</t>
  </si>
  <si>
    <t>6,3</t>
  </si>
  <si>
    <t>5,3</t>
  </si>
  <si>
    <t>4,3</t>
  </si>
  <si>
    <t>8,4</t>
  </si>
  <si>
    <t>7,4</t>
  </si>
  <si>
    <t>6,4</t>
  </si>
  <si>
    <t>5,4</t>
  </si>
  <si>
    <t>8,5</t>
  </si>
  <si>
    <t>7,5</t>
  </si>
  <si>
    <t>6,5</t>
  </si>
  <si>
    <t>8,6</t>
  </si>
  <si>
    <t>7,6</t>
  </si>
  <si>
    <t>8,7</t>
  </si>
  <si>
    <t>&gt;8</t>
  </si>
  <si>
    <r>
      <t>R</t>
    </r>
    <r>
      <rPr>
        <i/>
        <vertAlign val="subscript"/>
        <sz val="10"/>
        <rFont val="Arial"/>
        <family val="2"/>
      </rPr>
      <t>hy</t>
    </r>
    <r>
      <rPr>
        <i/>
        <sz val="10"/>
        <rFont val="Arial"/>
        <family val="2"/>
      </rPr>
      <t xml:space="preserve"> = R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*M</t>
    </r>
    <r>
      <rPr>
        <i/>
        <vertAlign val="subscript"/>
        <sz val="10"/>
        <rFont val="Arial"/>
        <family val="2"/>
      </rPr>
      <t>p</t>
    </r>
    <r>
      <rPr>
        <i/>
        <sz val="10"/>
        <rFont val="Arial"/>
        <family val="2"/>
      </rPr>
      <t>/(M</t>
    </r>
    <r>
      <rPr>
        <i/>
        <vertAlign val="subscript"/>
        <sz val="10"/>
        <rFont val="Arial"/>
        <family val="2"/>
      </rPr>
      <t>p</t>
    </r>
    <r>
      <rPr>
        <i/>
        <sz val="10"/>
        <rFont val="Arial"/>
        <family val="2"/>
      </rPr>
      <t>+m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>) sec</t>
    </r>
    <r>
      <rPr>
        <i/>
        <vertAlign val="superscript"/>
        <sz val="10"/>
        <rFont val="Arial"/>
        <family val="2"/>
      </rPr>
      <t xml:space="preserve">-1   </t>
    </r>
    <r>
      <rPr>
        <i/>
        <sz val="10"/>
        <rFont val="Arial"/>
        <family val="2"/>
      </rPr>
      <t xml:space="preserve"> =</t>
    </r>
  </si>
  <si>
    <r>
      <t>R</t>
    </r>
    <r>
      <rPr>
        <b/>
        <i/>
        <vertAlign val="subscript"/>
        <sz val="10"/>
        <rFont val="Times New Roman"/>
        <family val="1"/>
      </rPr>
      <t>hy</t>
    </r>
    <r>
      <rPr>
        <b/>
        <i/>
        <sz val="10"/>
        <rFont val="Times New Roman"/>
        <family val="1"/>
      </rPr>
      <t>/c</t>
    </r>
  </si>
  <si>
    <t xml:space="preserve"> =Rydberg's Constant /c - cm</t>
  </si>
  <si>
    <r>
      <t>R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/c = m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>c</t>
    </r>
    <r>
      <rPr>
        <i/>
        <sz val="10"/>
        <rFont val="Symbol"/>
        <family val="1"/>
      </rPr>
      <t>k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/2h</t>
    </r>
  </si>
  <si>
    <t>cms</t>
  </si>
  <si>
    <t>1s(+) Hyperfine Wavelength</t>
  </si>
  <si>
    <r>
      <t>s</t>
    </r>
    <r>
      <rPr>
        <vertAlign val="subscript"/>
        <sz val="10"/>
        <rFont val="Arial"/>
        <family val="2"/>
      </rPr>
      <t>h1</t>
    </r>
    <r>
      <rPr>
        <sz val="10"/>
        <rFont val="Arial"/>
        <family val="0"/>
      </rPr>
      <t>(-)</t>
    </r>
  </si>
  <si>
    <r>
      <t>s</t>
    </r>
    <r>
      <rPr>
        <vertAlign val="subscript"/>
        <sz val="10"/>
        <rFont val="Arial"/>
        <family val="2"/>
      </rPr>
      <t>h2</t>
    </r>
    <r>
      <rPr>
        <sz val="10"/>
        <rFont val="Arial"/>
        <family val="0"/>
      </rPr>
      <t>(-)</t>
    </r>
  </si>
  <si>
    <r>
      <t>s</t>
    </r>
    <r>
      <rPr>
        <sz val="10"/>
        <rFont val="Arial"/>
        <family val="0"/>
      </rPr>
      <t>(+)</t>
    </r>
  </si>
  <si>
    <r>
      <t>p</t>
    </r>
    <r>
      <rPr>
        <vertAlign val="subscript"/>
        <sz val="10"/>
        <rFont val="Arial"/>
        <family val="2"/>
      </rPr>
      <t>h1</t>
    </r>
    <r>
      <rPr>
        <sz val="10"/>
        <rFont val="Arial"/>
        <family val="0"/>
      </rPr>
      <t>(+)</t>
    </r>
  </si>
  <si>
    <t>D.Z.</t>
  </si>
  <si>
    <t>Frequency</t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</si>
  <si>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(-)</t>
    </r>
  </si>
  <si>
    <r>
      <t>s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(+)</t>
    </r>
  </si>
  <si>
    <r>
      <t>d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(-)</t>
    </r>
  </si>
  <si>
    <r>
      <t>s</t>
    </r>
    <r>
      <rPr>
        <b/>
        <i/>
        <vertAlign val="subscript"/>
        <sz val="10"/>
        <color indexed="20"/>
        <rFont val="Arial"/>
        <family val="2"/>
      </rPr>
      <t>h</t>
    </r>
    <r>
      <rPr>
        <b/>
        <i/>
        <sz val="10"/>
        <color indexed="20"/>
        <rFont val="Arial"/>
        <family val="2"/>
      </rPr>
      <t>(+)</t>
    </r>
  </si>
  <si>
    <r>
      <t>p</t>
    </r>
    <r>
      <rPr>
        <b/>
        <i/>
        <vertAlign val="subscript"/>
        <sz val="10"/>
        <color indexed="20"/>
        <rFont val="Arial"/>
        <family val="2"/>
      </rPr>
      <t>h</t>
    </r>
    <r>
      <rPr>
        <b/>
        <i/>
        <sz val="10"/>
        <color indexed="20"/>
        <rFont val="Arial"/>
        <family val="2"/>
      </rPr>
      <t>(-)</t>
    </r>
  </si>
  <si>
    <r>
      <t>d</t>
    </r>
    <r>
      <rPr>
        <b/>
        <i/>
        <vertAlign val="subscript"/>
        <sz val="10"/>
        <color indexed="20"/>
        <rFont val="Arial"/>
        <family val="2"/>
      </rPr>
      <t>h</t>
    </r>
    <r>
      <rPr>
        <b/>
        <i/>
        <sz val="10"/>
        <color indexed="20"/>
        <rFont val="Arial"/>
        <family val="2"/>
      </rPr>
      <t>(-)</t>
    </r>
  </si>
  <si>
    <r>
      <t>p</t>
    </r>
    <r>
      <rPr>
        <b/>
        <i/>
        <vertAlign val="subscript"/>
        <sz val="10"/>
        <color indexed="20"/>
        <rFont val="Arial"/>
        <family val="2"/>
      </rPr>
      <t>h</t>
    </r>
    <r>
      <rPr>
        <b/>
        <i/>
        <sz val="10"/>
        <color indexed="20"/>
        <rFont val="Arial"/>
        <family val="2"/>
      </rPr>
      <t>(+)</t>
    </r>
  </si>
  <si>
    <t>cm to MHz</t>
  </si>
  <si>
    <r>
      <t>e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sp</t>
    </r>
  </si>
  <si>
    <r>
      <t>p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sp</t>
    </r>
  </si>
  <si>
    <t>Angstroms to MHz</t>
  </si>
  <si>
    <t>High Energy</t>
  </si>
  <si>
    <t>Low Energy</t>
  </si>
  <si>
    <t>MHz</t>
  </si>
  <si>
    <r>
      <t>s</t>
    </r>
    <r>
      <rPr>
        <b/>
        <i/>
        <vertAlign val="subscript"/>
        <sz val="10"/>
        <color indexed="61"/>
        <rFont val="Arial"/>
        <family val="2"/>
      </rPr>
      <t>h1</t>
    </r>
    <r>
      <rPr>
        <b/>
        <i/>
        <sz val="10"/>
        <color indexed="61"/>
        <rFont val="Arial"/>
        <family val="2"/>
      </rPr>
      <t>(-)</t>
    </r>
  </si>
  <si>
    <r>
      <t>s</t>
    </r>
    <r>
      <rPr>
        <b/>
        <i/>
        <vertAlign val="subscript"/>
        <sz val="10"/>
        <color indexed="61"/>
        <rFont val="Arial"/>
        <family val="2"/>
      </rPr>
      <t>h2</t>
    </r>
    <r>
      <rPr>
        <b/>
        <i/>
        <sz val="10"/>
        <color indexed="61"/>
        <rFont val="Arial"/>
        <family val="2"/>
      </rPr>
      <t>(-)</t>
    </r>
  </si>
  <si>
    <r>
      <t>s</t>
    </r>
    <r>
      <rPr>
        <b/>
        <i/>
        <vertAlign val="subscript"/>
        <sz val="10"/>
        <color indexed="61"/>
        <rFont val="Arial"/>
        <family val="2"/>
      </rPr>
      <t>h</t>
    </r>
    <r>
      <rPr>
        <b/>
        <i/>
        <sz val="10"/>
        <color indexed="61"/>
        <rFont val="Arial"/>
        <family val="2"/>
      </rPr>
      <t>(+)</t>
    </r>
  </si>
  <si>
    <t>Blue = Shown in C.E.Moore</t>
  </si>
  <si>
    <t>Purple = Theoretical Hyperfine Orbital</t>
  </si>
  <si>
    <r>
      <t>All Spectra are in Angstroms, (</t>
    </r>
    <r>
      <rPr>
        <b/>
        <i/>
        <sz val="10"/>
        <color indexed="19"/>
        <rFont val="Arial"/>
        <family val="2"/>
      </rPr>
      <t>A</t>
    </r>
    <r>
      <rPr>
        <sz val="10"/>
        <rFont val="Arial"/>
        <family val="0"/>
      </rPr>
      <t>), except for Hyperfine Lines, (in cms), (</t>
    </r>
    <r>
      <rPr>
        <b/>
        <i/>
        <sz val="10"/>
        <color indexed="61"/>
        <rFont val="Arial"/>
        <family val="2"/>
      </rPr>
      <t>A</t>
    </r>
    <r>
      <rPr>
        <sz val="10"/>
        <rFont val="Arial"/>
        <family val="0"/>
      </rPr>
      <t>)</t>
    </r>
  </si>
  <si>
    <t>Wave Number to Length  Converter</t>
  </si>
  <si>
    <t>Wave Length to Number  Converter</t>
  </si>
  <si>
    <r>
      <t>Orbital Energy Level Intervals (cm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</si>
  <si>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Date of Issue</t>
  </si>
  <si>
    <r>
      <t>d</t>
    </r>
    <r>
      <rPr>
        <b/>
        <i/>
        <vertAlign val="subscript"/>
        <sz val="10"/>
        <color indexed="61"/>
        <rFont val="Arial"/>
        <family val="2"/>
      </rPr>
      <t>h</t>
    </r>
    <r>
      <rPr>
        <b/>
        <i/>
        <sz val="10"/>
        <color indexed="61"/>
        <rFont val="Arial"/>
        <family val="2"/>
      </rPr>
      <t>(+)</t>
    </r>
  </si>
  <si>
    <r>
      <t>p</t>
    </r>
    <r>
      <rPr>
        <b/>
        <i/>
        <vertAlign val="subscript"/>
        <sz val="10"/>
        <color indexed="61"/>
        <rFont val="Arial"/>
        <family val="2"/>
      </rPr>
      <t>h</t>
    </r>
    <r>
      <rPr>
        <b/>
        <i/>
        <sz val="10"/>
        <color indexed="61"/>
        <rFont val="Arial"/>
        <family val="2"/>
      </rPr>
      <t>(+)</t>
    </r>
  </si>
  <si>
    <t>Frequency 1</t>
  </si>
  <si>
    <t>Frequency 2</t>
  </si>
  <si>
    <t>Bandwidth</t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</si>
  <si>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(+)</t>
    </r>
  </si>
  <si>
    <r>
      <t>d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(+)</t>
    </r>
  </si>
  <si>
    <t xml:space="preserve">                                                                               To
                          From</t>
  </si>
  <si>
    <r>
      <t>n</t>
    </r>
    <r>
      <rPr>
        <b/>
        <i/>
        <vertAlign val="subscript"/>
        <sz val="10"/>
        <rFont val="Arial"/>
        <family val="2"/>
      </rPr>
      <t>f</t>
    </r>
  </si>
  <si>
    <t xml:space="preserve">  is a Dead Zone Transition.</t>
  </si>
  <si>
    <t xml:space="preserve">  is an Intra-Shell Transition Combination.</t>
  </si>
  <si>
    <t xml:space="preserve">  is an Inter-Shell Transition Combination</t>
  </si>
  <si>
    <t>Orbital Transition, (From,To)</t>
  </si>
  <si>
    <r>
      <t>l &gt;2000A =</t>
    </r>
    <r>
      <rPr>
        <sz val="10"/>
        <rFont val="Arial"/>
        <family val="2"/>
      </rPr>
      <t xml:space="preserve"> Divided by Air Refractive Index =</t>
    </r>
  </si>
  <si>
    <t>Black = Normal Fine Structure Orbital</t>
  </si>
  <si>
    <t>Units</t>
  </si>
  <si>
    <t>In the Convertors, Input Cell References in the Turquois Cells</t>
  </si>
  <si>
    <t>Cell #1 Input</t>
  </si>
  <si>
    <t>Cell #2 Input</t>
  </si>
  <si>
    <t>Wavelength to Frequency Convertor</t>
  </si>
  <si>
    <t>&gt;2000000</t>
  </si>
  <si>
    <t>Colour of Background - Key</t>
  </si>
  <si>
    <t>Colour of Text - Key</t>
  </si>
  <si>
    <r>
      <t>s</t>
    </r>
    <r>
      <rPr>
        <vertAlign val="subscript"/>
        <sz val="10"/>
        <rFont val="Arial"/>
        <family val="2"/>
      </rPr>
      <t>h3</t>
    </r>
    <r>
      <rPr>
        <sz val="10"/>
        <rFont val="Arial"/>
        <family val="0"/>
      </rPr>
      <t>(+)</t>
    </r>
  </si>
  <si>
    <t>Hyperfine Energy Interval Convertor</t>
  </si>
  <si>
    <t>Bandwidth Calculator, (for Angstroms to MHz)</t>
  </si>
  <si>
    <t>Coloumb Force Corrections</t>
  </si>
  <si>
    <t>D15 optimised for s(+) energy level</t>
  </si>
  <si>
    <t>Spin-Orbit Electron Dipole Relativistic Correction</t>
  </si>
  <si>
    <t>Spin-Spin Electron Dipole Relativistic Correction</t>
  </si>
  <si>
    <t xml:space="preserve"> Sheet "H(R+S+L)" and Sheet "Moore"</t>
  </si>
  <si>
    <t xml:space="preserve"> This Sheet Depicts the Difference Between</t>
  </si>
  <si>
    <t>Ionisation eV</t>
  </si>
  <si>
    <r>
      <t>s(+) Energy, (cm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</si>
  <si>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This means magnetic dipole relativistic corrections incorporated in H(R+S+L)</t>
  </si>
  <si>
    <t>Average
Discrepancy</t>
  </si>
  <si>
    <t>N/A</t>
  </si>
  <si>
    <t>Average Energy Discrepancy - Shells 2 to 8 =</t>
  </si>
  <si>
    <r>
      <t>Ratio of Energy Conversion Factors Used, (PGB/Moore), ergs to cm</t>
    </r>
    <r>
      <rPr>
        <vertAlign val="superscript"/>
        <sz val="10"/>
        <rFont val="Arial"/>
        <family val="2"/>
      </rPr>
      <t>-1</t>
    </r>
  </si>
  <si>
    <r>
      <t xml:space="preserve">Lamb Shift Intervals - 
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</si>
  <si>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This small area runs spot checks from any Shell/Orbital to any other Shell/Orbital - You must specify, ( in white cells ):- (i) n; (ii) the orbital, ( s up to maximum k ); and (iii) spin, ( + or - ).
All other parameters, ( in yellow cells ), will be calculated automatically.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</si>
</sst>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E+00"/>
    <numFmt numFmtId="165" formatCode="0.0000"/>
    <numFmt numFmtId="166" formatCode="0.000"/>
    <numFmt numFmtId="167" formatCode="#,##0.0000"/>
    <numFmt numFmtId="168" formatCode="0.00000000E+00"/>
    <numFmt numFmtId="169" formatCode="0.00000000"/>
    <numFmt numFmtId="170" formatCode="0.000000"/>
    <numFmt numFmtId="171" formatCode="0.000000000E+00"/>
    <numFmt numFmtId="172" formatCode="0.0000000000"/>
    <numFmt numFmtId="173" formatCode="0.0"/>
    <numFmt numFmtId="174" formatCode="0.0000E+00"/>
    <numFmt numFmtId="175" formatCode="0.00000000000"/>
    <numFmt numFmtId="176" formatCode="dd/mm/yyyy"/>
    <numFmt numFmtId="177" formatCode="0.00000"/>
    <numFmt numFmtId="178" formatCode="#,##0.0000;[Red]\-#,##0.0000"/>
    <numFmt numFmtId="179" formatCode="#,##0.0000;[Red]\-#,##0.0000;[Blue]General"/>
    <numFmt numFmtId="180" formatCode="#,##0.0000;[Red]\-#,##0.0000;[Blue]\+#"/>
    <numFmt numFmtId="181" formatCode="[Blue]#,##0.0000;[Red]\-#,##0.0000;General"/>
    <numFmt numFmtId="182" formatCode="0.0000000000E+00"/>
    <numFmt numFmtId="183" formatCode="0.000000000"/>
    <numFmt numFmtId="184" formatCode="0.000000000000000000"/>
    <numFmt numFmtId="185" formatCode="0.000000000000"/>
    <numFmt numFmtId="186" formatCode="0.000000000000000000000000000000"/>
    <numFmt numFmtId="187" formatCode="0.00000000000000E+00"/>
    <numFmt numFmtId="188" formatCode="0.000000000000000000000000000000E+00"/>
    <numFmt numFmtId="189" formatCode="0.0000000"/>
    <numFmt numFmtId="190" formatCode="#,##0.000000"/>
    <numFmt numFmtId="191" formatCode="[Blue]#,##0.00000;[Red]\-#,##0.00000;General"/>
    <numFmt numFmtId="192" formatCode="#,##0.00000"/>
    <numFmt numFmtId="193" formatCode="\+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Symbol"/>
      <family val="1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sz val="10"/>
      <name val="Symbol"/>
      <family val="1"/>
    </font>
    <font>
      <sz val="11"/>
      <name val="Symbol"/>
      <family val="1"/>
    </font>
    <font>
      <vertAlign val="subscript"/>
      <sz val="11"/>
      <name val="Arial"/>
      <family val="2"/>
    </font>
    <font>
      <b/>
      <sz val="8"/>
      <name val="Symbol"/>
      <family val="1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color indexed="11"/>
      <name val="Arial"/>
      <family val="2"/>
    </font>
    <font>
      <i/>
      <u val="single"/>
      <sz val="10"/>
      <name val="Arial"/>
      <family val="2"/>
    </font>
    <font>
      <i/>
      <sz val="10"/>
      <name val="Symbol"/>
      <family val="1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b/>
      <i/>
      <vertAlign val="subscript"/>
      <sz val="10"/>
      <name val="Symbol"/>
      <family val="1"/>
    </font>
    <font>
      <b/>
      <i/>
      <sz val="10"/>
      <color indexed="14"/>
      <name val="Arial"/>
      <family val="2"/>
    </font>
    <font>
      <b/>
      <i/>
      <sz val="10"/>
      <color indexed="19"/>
      <name val="Arial"/>
      <family val="2"/>
    </font>
    <font>
      <b/>
      <i/>
      <sz val="9"/>
      <color indexed="20"/>
      <name val="Arial"/>
      <family val="2"/>
    </font>
    <font>
      <b/>
      <i/>
      <sz val="10"/>
      <color indexed="20"/>
      <name val="Arial"/>
      <family val="2"/>
    </font>
    <font>
      <b/>
      <i/>
      <vertAlign val="subscript"/>
      <sz val="10"/>
      <color indexed="20"/>
      <name val="Arial"/>
      <family val="2"/>
    </font>
    <font>
      <b/>
      <i/>
      <sz val="10"/>
      <color indexed="61"/>
      <name val="Arial"/>
      <family val="2"/>
    </font>
    <font>
      <b/>
      <i/>
      <sz val="9"/>
      <color indexed="61"/>
      <name val="Arial"/>
      <family val="2"/>
    </font>
    <font>
      <b/>
      <i/>
      <vertAlign val="subscript"/>
      <sz val="10"/>
      <color indexed="61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 diagonalUp="1" diagonalDown="1">
      <left style="double"/>
      <right style="double"/>
      <top style="thin"/>
      <bottom style="thin"/>
      <diagonal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9" xfId="0" applyNumberFormat="1" applyFont="1" applyBorder="1" applyAlignment="1">
      <alignment vertical="center" shrinkToFit="1"/>
    </xf>
    <xf numFmtId="168" fontId="0" fillId="0" borderId="10" xfId="0" applyNumberFormat="1" applyFont="1" applyBorder="1" applyAlignment="1">
      <alignment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0" xfId="0" applyNumberFormat="1" applyFont="1" applyBorder="1" applyAlignment="1">
      <alignment shrinkToFit="1"/>
    </xf>
    <xf numFmtId="168" fontId="0" fillId="0" borderId="10" xfId="0" applyNumberFormat="1" applyFont="1" applyBorder="1" applyAlignment="1">
      <alignment vertical="center" shrinkToFit="1"/>
    </xf>
    <xf numFmtId="164" fontId="0" fillId="0" borderId="10" xfId="0" applyNumberFormat="1" applyFont="1" applyBorder="1" applyAlignment="1">
      <alignment shrinkToFit="1"/>
    </xf>
    <xf numFmtId="168" fontId="0" fillId="0" borderId="13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5" xfId="0" applyFont="1" applyBorder="1" applyAlignment="1">
      <alignment shrinkToFit="1"/>
    </xf>
    <xf numFmtId="11" fontId="0" fillId="0" borderId="5" xfId="0" applyNumberFormat="1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shrinkToFit="1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shrinkToFit="1"/>
    </xf>
    <xf numFmtId="0" fontId="0" fillId="0" borderId="12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8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167" fontId="0" fillId="0" borderId="9" xfId="0" applyNumberFormat="1" applyFont="1" applyBorder="1" applyAlignment="1">
      <alignment horizontal="right" shrinkToFit="1"/>
    </xf>
    <xf numFmtId="0" fontId="1" fillId="0" borderId="14" xfId="0" applyFont="1" applyBorder="1" applyAlignment="1">
      <alignment vertical="center"/>
    </xf>
    <xf numFmtId="11" fontId="0" fillId="0" borderId="18" xfId="0" applyNumberFormat="1" applyFont="1" applyBorder="1" applyAlignment="1">
      <alignment shrinkToFit="1"/>
    </xf>
    <xf numFmtId="164" fontId="0" fillId="0" borderId="5" xfId="0" applyNumberFormat="1" applyFont="1" applyBorder="1" applyAlignment="1">
      <alignment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11" fontId="0" fillId="0" borderId="19" xfId="0" applyNumberFormat="1" applyFont="1" applyBorder="1" applyAlignment="1">
      <alignment shrinkToFit="1"/>
    </xf>
    <xf numFmtId="164" fontId="0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 shrinkToFit="1"/>
    </xf>
    <xf numFmtId="164" fontId="0" fillId="0" borderId="18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64" fontId="0" fillId="0" borderId="16" xfId="0" applyNumberFormat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67" fontId="0" fillId="0" borderId="10" xfId="0" applyNumberFormat="1" applyFont="1" applyBorder="1" applyAlignment="1">
      <alignment horizontal="right" shrinkToFit="1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67" fontId="0" fillId="0" borderId="13" xfId="0" applyNumberFormat="1" applyFont="1" applyBorder="1" applyAlignment="1">
      <alignment horizontal="right" shrinkToFit="1"/>
    </xf>
    <xf numFmtId="0" fontId="0" fillId="0" borderId="16" xfId="0" applyBorder="1" applyAlignment="1">
      <alignment horizontal="center" vertical="center" shrinkToFit="1"/>
    </xf>
    <xf numFmtId="170" fontId="0" fillId="0" borderId="5" xfId="0" applyNumberForma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shrinkToFit="1"/>
    </xf>
    <xf numFmtId="173" fontId="0" fillId="0" borderId="28" xfId="0" applyNumberFormat="1" applyBorder="1" applyAlignment="1">
      <alignment horizontal="center" vertical="center" shrinkToFit="1"/>
    </xf>
    <xf numFmtId="173" fontId="0" fillId="0" borderId="29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66" fontId="0" fillId="0" borderId="5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67" fontId="0" fillId="0" borderId="13" xfId="0" applyNumberFormat="1" applyBorder="1" applyAlignment="1">
      <alignment vertical="center" shrinkToFit="1"/>
    </xf>
    <xf numFmtId="170" fontId="0" fillId="0" borderId="0" xfId="0" applyNumberForma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167" fontId="0" fillId="0" borderId="31" xfId="0" applyNumberFormat="1" applyFont="1" applyBorder="1" applyAlignment="1">
      <alignment horizontal="right" shrinkToFit="1"/>
    </xf>
    <xf numFmtId="11" fontId="0" fillId="0" borderId="0" xfId="0" applyNumberFormat="1" applyFont="1" applyBorder="1" applyAlignment="1">
      <alignment shrinkToFit="1"/>
    </xf>
    <xf numFmtId="174" fontId="8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68" fontId="0" fillId="0" borderId="18" xfId="0" applyNumberFormat="1" applyFont="1" applyBorder="1" applyAlignment="1">
      <alignment vertical="center" shrinkToFit="1"/>
    </xf>
    <xf numFmtId="168" fontId="0" fillId="0" borderId="6" xfId="0" applyNumberFormat="1" applyBorder="1" applyAlignment="1">
      <alignment horizontal="center"/>
    </xf>
    <xf numFmtId="168" fontId="0" fillId="0" borderId="0" xfId="0" applyNumberFormat="1" applyFont="1" applyBorder="1" applyAlignment="1">
      <alignment shrinkToFit="1"/>
    </xf>
    <xf numFmtId="168" fontId="0" fillId="0" borderId="6" xfId="0" applyNumberForma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shrinkToFit="1"/>
    </xf>
    <xf numFmtId="0" fontId="0" fillId="0" borderId="12" xfId="0" applyBorder="1" applyAlignment="1">
      <alignment vertical="center"/>
    </xf>
    <xf numFmtId="168" fontId="0" fillId="0" borderId="0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164" fontId="0" fillId="0" borderId="19" xfId="0" applyNumberFormat="1" applyFont="1" applyBorder="1" applyAlignment="1">
      <alignment shrinkToFit="1"/>
    </xf>
    <xf numFmtId="0" fontId="0" fillId="0" borderId="2" xfId="0" applyBorder="1" applyAlignment="1">
      <alignment vertical="center"/>
    </xf>
    <xf numFmtId="168" fontId="0" fillId="0" borderId="8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65" fontId="0" fillId="0" borderId="34" xfId="0" applyNumberFormat="1" applyFont="1" applyBorder="1" applyAlignment="1">
      <alignment horizontal="right" shrinkToFit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" fontId="0" fillId="0" borderId="2" xfId="0" applyNumberFormat="1" applyBorder="1" applyAlignment="1">
      <alignment horizontal="center"/>
    </xf>
    <xf numFmtId="174" fontId="0" fillId="0" borderId="10" xfId="0" applyNumberFormat="1" applyBorder="1" applyAlignment="1">
      <alignment vertical="center"/>
    </xf>
    <xf numFmtId="165" fontId="0" fillId="0" borderId="36" xfId="0" applyNumberFormat="1" applyFont="1" applyBorder="1" applyAlignment="1">
      <alignment horizontal="right" shrinkToFit="1"/>
    </xf>
    <xf numFmtId="167" fontId="0" fillId="0" borderId="26" xfId="0" applyNumberFormat="1" applyFont="1" applyBorder="1" applyAlignment="1">
      <alignment horizontal="right" shrinkToFit="1"/>
    </xf>
    <xf numFmtId="167" fontId="0" fillId="0" borderId="9" xfId="0" applyNumberFormat="1" applyFont="1" applyBorder="1" applyAlignment="1">
      <alignment horizontal="right" shrinkToFit="1"/>
    </xf>
    <xf numFmtId="167" fontId="0" fillId="0" borderId="20" xfId="0" applyNumberFormat="1" applyFont="1" applyBorder="1" applyAlignment="1">
      <alignment horizontal="right" shrinkToFit="1"/>
    </xf>
    <xf numFmtId="0" fontId="0" fillId="0" borderId="36" xfId="0" applyBorder="1" applyAlignment="1">
      <alignment vertical="center" shrinkToFit="1"/>
    </xf>
    <xf numFmtId="167" fontId="0" fillId="0" borderId="28" xfId="0" applyNumberFormat="1" applyFont="1" applyBorder="1" applyAlignment="1">
      <alignment horizontal="right" shrinkToFit="1"/>
    </xf>
    <xf numFmtId="167" fontId="0" fillId="0" borderId="10" xfId="0" applyNumberFormat="1" applyFont="1" applyBorder="1" applyAlignment="1">
      <alignment horizontal="right" shrinkToFit="1"/>
    </xf>
    <xf numFmtId="167" fontId="0" fillId="0" borderId="36" xfId="0" applyNumberFormat="1" applyFont="1" applyBorder="1" applyAlignment="1">
      <alignment horizontal="right" shrinkToFit="1"/>
    </xf>
    <xf numFmtId="174" fontId="0" fillId="0" borderId="13" xfId="0" applyNumberFormat="1" applyBorder="1" applyAlignment="1">
      <alignment vertical="center"/>
    </xf>
    <xf numFmtId="167" fontId="0" fillId="0" borderId="29" xfId="0" applyNumberFormat="1" applyFont="1" applyBorder="1" applyAlignment="1">
      <alignment horizontal="right" shrinkToFit="1"/>
    </xf>
    <xf numFmtId="167" fontId="0" fillId="0" borderId="13" xfId="0" applyNumberFormat="1" applyFont="1" applyBorder="1" applyAlignment="1">
      <alignment horizontal="right" shrinkToFit="1"/>
    </xf>
    <xf numFmtId="167" fontId="0" fillId="0" borderId="33" xfId="0" applyNumberFormat="1" applyFont="1" applyBorder="1" applyAlignment="1">
      <alignment horizontal="right" shrinkToFit="1"/>
    </xf>
    <xf numFmtId="167" fontId="0" fillId="0" borderId="19" xfId="0" applyNumberFormat="1" applyBorder="1" applyAlignment="1">
      <alignment horizontal="center" vertical="center" shrinkToFit="1"/>
    </xf>
    <xf numFmtId="174" fontId="0" fillId="0" borderId="9" xfId="0" applyNumberFormat="1" applyBorder="1" applyAlignment="1">
      <alignment vertical="center" shrinkToFit="1"/>
    </xf>
    <xf numFmtId="167" fontId="18" fillId="0" borderId="10" xfId="0" applyNumberFormat="1" applyFont="1" applyBorder="1" applyAlignment="1">
      <alignment horizontal="right" shrinkToFit="1"/>
    </xf>
    <xf numFmtId="167" fontId="18" fillId="0" borderId="36" xfId="0" applyNumberFormat="1" applyFont="1" applyBorder="1" applyAlignment="1">
      <alignment horizontal="right" shrinkToFit="1"/>
    </xf>
    <xf numFmtId="167" fontId="0" fillId="0" borderId="26" xfId="0" applyNumberFormat="1" applyFont="1" applyBorder="1" applyAlignment="1">
      <alignment horizontal="right" shrinkToFit="1"/>
    </xf>
    <xf numFmtId="167" fontId="0" fillId="0" borderId="20" xfId="0" applyNumberFormat="1" applyFont="1" applyBorder="1" applyAlignment="1">
      <alignment horizontal="right" shrinkToFit="1"/>
    </xf>
    <xf numFmtId="174" fontId="0" fillId="0" borderId="10" xfId="0" applyNumberFormat="1" applyBorder="1" applyAlignment="1">
      <alignment vertical="center" shrinkToFit="1"/>
    </xf>
    <xf numFmtId="167" fontId="18" fillId="0" borderId="28" xfId="0" applyNumberFormat="1" applyFont="1" applyBorder="1" applyAlignment="1">
      <alignment horizontal="right" shrinkToFit="1"/>
    </xf>
    <xf numFmtId="167" fontId="0" fillId="0" borderId="28" xfId="0" applyNumberFormat="1" applyFont="1" applyBorder="1" applyAlignment="1">
      <alignment horizontal="right" shrinkToFit="1"/>
    </xf>
    <xf numFmtId="167" fontId="0" fillId="0" borderId="36" xfId="0" applyNumberFormat="1" applyFont="1" applyBorder="1" applyAlignment="1">
      <alignment horizontal="right" shrinkToFit="1"/>
    </xf>
    <xf numFmtId="174" fontId="0" fillId="0" borderId="13" xfId="0" applyNumberFormat="1" applyBorder="1" applyAlignment="1">
      <alignment vertical="center" shrinkToFit="1"/>
    </xf>
    <xf numFmtId="165" fontId="0" fillId="0" borderId="33" xfId="0" applyNumberFormat="1" applyFont="1" applyBorder="1" applyAlignment="1">
      <alignment horizontal="right" shrinkToFit="1"/>
    </xf>
    <xf numFmtId="167" fontId="16" fillId="0" borderId="13" xfId="0" applyNumberFormat="1" applyFont="1" applyBorder="1" applyAlignment="1">
      <alignment horizontal="right" shrinkToFit="1"/>
    </xf>
    <xf numFmtId="167" fontId="18" fillId="0" borderId="33" xfId="0" applyNumberFormat="1" applyFont="1" applyBorder="1" applyAlignment="1">
      <alignment horizontal="right" shrinkToFit="1"/>
    </xf>
    <xf numFmtId="167" fontId="0" fillId="0" borderId="29" xfId="0" applyNumberFormat="1" applyFont="1" applyBorder="1" applyAlignment="1">
      <alignment horizontal="right" shrinkToFit="1"/>
    </xf>
    <xf numFmtId="167" fontId="0" fillId="0" borderId="33" xfId="0" applyNumberFormat="1" applyFont="1" applyBorder="1" applyAlignment="1">
      <alignment horizontal="right" shrinkToFit="1"/>
    </xf>
    <xf numFmtId="166" fontId="0" fillId="0" borderId="26" xfId="0" applyNumberFormat="1" applyFont="1" applyBorder="1" applyAlignment="1">
      <alignment horizontal="right" shrinkToFit="1"/>
    </xf>
    <xf numFmtId="166" fontId="0" fillId="0" borderId="9" xfId="0" applyNumberFormat="1" applyFont="1" applyBorder="1" applyAlignment="1">
      <alignment horizontal="right" shrinkToFit="1"/>
    </xf>
    <xf numFmtId="166" fontId="0" fillId="0" borderId="20" xfId="0" applyNumberFormat="1" applyFont="1" applyBorder="1" applyAlignment="1">
      <alignment horizontal="right" shrinkToFit="1"/>
    </xf>
    <xf numFmtId="166" fontId="0" fillId="0" borderId="0" xfId="0" applyNumberFormat="1" applyBorder="1" applyAlignment="1">
      <alignment vertical="center" shrinkToFit="1"/>
    </xf>
    <xf numFmtId="166" fontId="0" fillId="0" borderId="27" xfId="0" applyNumberFormat="1" applyBorder="1" applyAlignment="1">
      <alignment vertical="center" shrinkToFit="1"/>
    </xf>
    <xf numFmtId="167" fontId="16" fillId="0" borderId="10" xfId="0" applyNumberFormat="1" applyFont="1" applyBorder="1" applyAlignment="1">
      <alignment horizontal="right" shrinkToFit="1"/>
    </xf>
    <xf numFmtId="167" fontId="16" fillId="0" borderId="36" xfId="0" applyNumberFormat="1" applyFont="1" applyBorder="1" applyAlignment="1">
      <alignment horizontal="right" shrinkToFit="1"/>
    </xf>
    <xf numFmtId="166" fontId="0" fillId="0" borderId="28" xfId="0" applyNumberFormat="1" applyFont="1" applyBorder="1" applyAlignment="1">
      <alignment horizontal="right" shrinkToFit="1"/>
    </xf>
    <xf numFmtId="166" fontId="0" fillId="0" borderId="10" xfId="0" applyNumberFormat="1" applyFont="1" applyBorder="1" applyAlignment="1">
      <alignment horizontal="right" shrinkToFit="1"/>
    </xf>
    <xf numFmtId="166" fontId="0" fillId="0" borderId="36" xfId="0" applyNumberFormat="1" applyFont="1" applyBorder="1" applyAlignment="1">
      <alignment horizontal="right" shrinkToFit="1"/>
    </xf>
    <xf numFmtId="174" fontId="0" fillId="0" borderId="13" xfId="0" applyNumberFormat="1" applyFont="1" applyBorder="1" applyAlignment="1">
      <alignment shrinkToFit="1"/>
    </xf>
    <xf numFmtId="166" fontId="0" fillId="0" borderId="29" xfId="0" applyNumberFormat="1" applyFont="1" applyBorder="1" applyAlignment="1">
      <alignment horizontal="right" shrinkToFit="1"/>
    </xf>
    <xf numFmtId="166" fontId="0" fillId="0" borderId="13" xfId="0" applyNumberFormat="1" applyFont="1" applyBorder="1" applyAlignment="1">
      <alignment horizontal="right" shrinkToFit="1"/>
    </xf>
    <xf numFmtId="166" fontId="0" fillId="0" borderId="33" xfId="0" applyNumberFormat="1" applyFont="1" applyBorder="1" applyAlignment="1">
      <alignment horizontal="right" shrinkToFit="1"/>
    </xf>
    <xf numFmtId="174" fontId="0" fillId="0" borderId="9" xfId="0" applyNumberFormat="1" applyFont="1" applyBorder="1" applyAlignment="1">
      <alignment vertical="center" shrinkToFit="1"/>
    </xf>
    <xf numFmtId="166" fontId="18" fillId="0" borderId="10" xfId="0" applyNumberFormat="1" applyFont="1" applyBorder="1" applyAlignment="1">
      <alignment horizontal="right" shrinkToFit="1"/>
    </xf>
    <xf numFmtId="166" fontId="18" fillId="0" borderId="28" xfId="0" applyNumberFormat="1" applyFont="1" applyBorder="1" applyAlignment="1">
      <alignment horizontal="right" shrinkToFit="1"/>
    </xf>
    <xf numFmtId="166" fontId="16" fillId="0" borderId="10" xfId="0" applyNumberFormat="1" applyFont="1" applyBorder="1" applyAlignment="1">
      <alignment horizontal="right" shrinkToFit="1"/>
    </xf>
    <xf numFmtId="166" fontId="16" fillId="0" borderId="36" xfId="0" applyNumberFormat="1" applyFont="1" applyBorder="1" applyAlignment="1">
      <alignment horizontal="right" shrinkToFit="1"/>
    </xf>
    <xf numFmtId="166" fontId="16" fillId="0" borderId="13" xfId="0" applyNumberFormat="1" applyFont="1" applyBorder="1" applyAlignment="1">
      <alignment horizontal="right" shrinkToFit="1"/>
    </xf>
    <xf numFmtId="166" fontId="18" fillId="0" borderId="33" xfId="0" applyNumberFormat="1" applyFont="1" applyBorder="1" applyAlignment="1">
      <alignment horizontal="right" shrinkToFit="1"/>
    </xf>
    <xf numFmtId="166" fontId="16" fillId="0" borderId="28" xfId="0" applyNumberFormat="1" applyFont="1" applyBorder="1" applyAlignment="1">
      <alignment horizontal="right" shrinkToFit="1"/>
    </xf>
    <xf numFmtId="166" fontId="18" fillId="0" borderId="36" xfId="0" applyNumberFormat="1" applyFont="1" applyBorder="1" applyAlignment="1">
      <alignment horizontal="right" shrinkToFit="1"/>
    </xf>
    <xf numFmtId="166" fontId="0" fillId="0" borderId="8" xfId="0" applyNumberFormat="1" applyBorder="1" applyAlignment="1">
      <alignment horizontal="center" vertical="center" shrinkToFit="1"/>
    </xf>
    <xf numFmtId="166" fontId="0" fillId="0" borderId="8" xfId="0" applyNumberFormat="1" applyBorder="1" applyAlignment="1">
      <alignment vertical="center" shrinkToFit="1"/>
    </xf>
    <xf numFmtId="166" fontId="0" fillId="0" borderId="19" xfId="0" applyNumberFormat="1" applyFont="1" applyBorder="1" applyAlignment="1">
      <alignment horizontal="right" shrinkToFit="1"/>
    </xf>
    <xf numFmtId="174" fontId="0" fillId="0" borderId="9" xfId="0" applyNumberFormat="1" applyBorder="1" applyAlignment="1">
      <alignment vertical="center"/>
    </xf>
    <xf numFmtId="174" fontId="0" fillId="0" borderId="25" xfId="0" applyNumberFormat="1" applyBorder="1" applyAlignment="1">
      <alignment vertical="center"/>
    </xf>
    <xf numFmtId="166" fontId="16" fillId="0" borderId="19" xfId="0" applyNumberFormat="1" applyFont="1" applyBorder="1" applyAlignment="1">
      <alignment horizontal="right" shrinkToFit="1"/>
    </xf>
    <xf numFmtId="174" fontId="0" fillId="0" borderId="31" xfId="0" applyNumberFormat="1" applyBorder="1" applyAlignment="1">
      <alignment vertical="center"/>
    </xf>
    <xf numFmtId="174" fontId="0" fillId="0" borderId="37" xfId="0" applyNumberFormat="1" applyBorder="1" applyAlignment="1">
      <alignment vertical="center"/>
    </xf>
    <xf numFmtId="165" fontId="0" fillId="0" borderId="38" xfId="0" applyNumberFormat="1" applyFont="1" applyBorder="1" applyAlignment="1">
      <alignment horizontal="right" shrinkToFit="1"/>
    </xf>
    <xf numFmtId="167" fontId="0" fillId="0" borderId="30" xfId="0" applyNumberFormat="1" applyFont="1" applyBorder="1" applyAlignment="1">
      <alignment horizontal="right" shrinkToFit="1"/>
    </xf>
    <xf numFmtId="167" fontId="0" fillId="0" borderId="31" xfId="0" applyNumberFormat="1" applyFont="1" applyBorder="1" applyAlignment="1">
      <alignment horizontal="right" shrinkToFit="1"/>
    </xf>
    <xf numFmtId="167" fontId="0" fillId="0" borderId="38" xfId="0" applyNumberFormat="1" applyFont="1" applyBorder="1" applyAlignment="1">
      <alignment horizontal="right" shrinkToFit="1"/>
    </xf>
    <xf numFmtId="167" fontId="0" fillId="0" borderId="30" xfId="0" applyNumberFormat="1" applyFont="1" applyBorder="1" applyAlignment="1">
      <alignment horizontal="right" shrinkToFit="1"/>
    </xf>
    <xf numFmtId="167" fontId="0" fillId="0" borderId="38" xfId="0" applyNumberFormat="1" applyFont="1" applyBorder="1" applyAlignment="1">
      <alignment horizontal="right" shrinkToFit="1"/>
    </xf>
    <xf numFmtId="166" fontId="0" fillId="0" borderId="30" xfId="0" applyNumberFormat="1" applyFont="1" applyBorder="1" applyAlignment="1">
      <alignment horizontal="right" shrinkToFit="1"/>
    </xf>
    <xf numFmtId="166" fontId="0" fillId="0" borderId="31" xfId="0" applyNumberFormat="1" applyFont="1" applyBorder="1" applyAlignment="1">
      <alignment horizontal="right" shrinkToFit="1"/>
    </xf>
    <xf numFmtId="166" fontId="0" fillId="0" borderId="38" xfId="0" applyNumberFormat="1" applyFont="1" applyBorder="1" applyAlignment="1">
      <alignment horizontal="right" shrinkToFit="1"/>
    </xf>
    <xf numFmtId="166" fontId="0" fillId="0" borderId="39" xfId="0" applyNumberFormat="1" applyFont="1" applyBorder="1" applyAlignment="1">
      <alignment horizontal="right" shrinkToFit="1"/>
    </xf>
    <xf numFmtId="166" fontId="16" fillId="0" borderId="31" xfId="0" applyNumberFormat="1" applyFont="1" applyBorder="1" applyAlignment="1">
      <alignment horizontal="right" shrinkToFit="1"/>
    </xf>
    <xf numFmtId="166" fontId="18" fillId="0" borderId="31" xfId="0" applyNumberFormat="1" applyFont="1" applyBorder="1" applyAlignment="1">
      <alignment horizontal="right" shrinkToFit="1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3" fontId="0" fillId="0" borderId="16" xfId="0" applyNumberFormat="1" applyBorder="1" applyAlignment="1" applyProtection="1">
      <alignment horizontal="center" vertical="center" shrinkToFit="1"/>
      <protection locked="0"/>
    </xf>
    <xf numFmtId="3" fontId="0" fillId="0" borderId="47" xfId="0" applyNumberForma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66" fontId="0" fillId="0" borderId="0" xfId="0" applyNumberFormat="1" applyAlignment="1">
      <alignment/>
    </xf>
    <xf numFmtId="166" fontId="0" fillId="0" borderId="10" xfId="0" applyNumberFormat="1" applyFont="1" applyBorder="1" applyAlignment="1">
      <alignment horizontal="right" shrinkToFit="1"/>
    </xf>
    <xf numFmtId="166" fontId="0" fillId="0" borderId="36" xfId="0" applyNumberFormat="1" applyFont="1" applyBorder="1" applyAlignment="1">
      <alignment horizontal="right" shrinkToFit="1"/>
    </xf>
    <xf numFmtId="166" fontId="0" fillId="0" borderId="13" xfId="0" applyNumberFormat="1" applyFont="1" applyBorder="1" applyAlignment="1">
      <alignment horizontal="right" shrinkToFit="1"/>
    </xf>
    <xf numFmtId="166" fontId="0" fillId="0" borderId="28" xfId="0" applyNumberFormat="1" applyFont="1" applyBorder="1" applyAlignment="1">
      <alignment horizontal="right" shrinkToFit="1"/>
    </xf>
    <xf numFmtId="166" fontId="0" fillId="0" borderId="19" xfId="0" applyNumberFormat="1" applyFont="1" applyBorder="1" applyAlignment="1">
      <alignment horizontal="right" shrinkToFit="1"/>
    </xf>
    <xf numFmtId="166" fontId="0" fillId="0" borderId="31" xfId="0" applyNumberFormat="1" applyFont="1" applyBorder="1" applyAlignment="1">
      <alignment horizontal="right" shrinkToFit="1"/>
    </xf>
    <xf numFmtId="0" fontId="0" fillId="0" borderId="0" xfId="0" applyFont="1" applyAlignment="1">
      <alignment/>
    </xf>
    <xf numFmtId="0" fontId="2" fillId="0" borderId="34" xfId="0" applyFont="1" applyBorder="1" applyAlignment="1">
      <alignment horizont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167" fontId="0" fillId="0" borderId="19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66" fontId="0" fillId="0" borderId="26" xfId="0" applyNumberFormat="1" applyFont="1" applyBorder="1" applyAlignment="1">
      <alignment horizontal="right" shrinkToFit="1"/>
    </xf>
    <xf numFmtId="166" fontId="0" fillId="0" borderId="9" xfId="0" applyNumberFormat="1" applyFont="1" applyBorder="1" applyAlignment="1">
      <alignment horizontal="right" shrinkToFit="1"/>
    </xf>
    <xf numFmtId="166" fontId="0" fillId="0" borderId="20" xfId="0" applyNumberFormat="1" applyFont="1" applyBorder="1" applyAlignment="1">
      <alignment horizontal="right" shrinkToFit="1"/>
    </xf>
    <xf numFmtId="166" fontId="0" fillId="0" borderId="0" xfId="0" applyNumberFormat="1" applyFont="1" applyBorder="1" applyAlignment="1">
      <alignment vertical="center" shrinkToFit="1"/>
    </xf>
    <xf numFmtId="166" fontId="0" fillId="0" borderId="27" xfId="0" applyNumberFormat="1" applyFont="1" applyBorder="1" applyAlignment="1">
      <alignment vertical="center" shrinkToFit="1"/>
    </xf>
    <xf numFmtId="166" fontId="0" fillId="0" borderId="29" xfId="0" applyNumberFormat="1" applyFont="1" applyBorder="1" applyAlignment="1">
      <alignment horizontal="right" shrinkToFit="1"/>
    </xf>
    <xf numFmtId="166" fontId="0" fillId="0" borderId="33" xfId="0" applyNumberFormat="1" applyFont="1" applyBorder="1" applyAlignment="1">
      <alignment horizontal="right" shrinkToFit="1"/>
    </xf>
    <xf numFmtId="166" fontId="0" fillId="0" borderId="0" xfId="0" applyNumberFormat="1" applyFont="1" applyBorder="1" applyAlignment="1">
      <alignment horizontal="center" vertical="center" shrinkToFit="1"/>
    </xf>
    <xf numFmtId="166" fontId="0" fillId="0" borderId="8" xfId="0" applyNumberFormat="1" applyFont="1" applyBorder="1" applyAlignment="1">
      <alignment horizontal="center" vertical="center" shrinkToFit="1"/>
    </xf>
    <xf numFmtId="166" fontId="0" fillId="0" borderId="8" xfId="0" applyNumberFormat="1" applyFont="1" applyBorder="1" applyAlignment="1">
      <alignment vertical="center" shrinkToFit="1"/>
    </xf>
    <xf numFmtId="166" fontId="0" fillId="0" borderId="30" xfId="0" applyNumberFormat="1" applyFont="1" applyBorder="1" applyAlignment="1">
      <alignment horizontal="right" shrinkToFit="1"/>
    </xf>
    <xf numFmtId="166" fontId="0" fillId="0" borderId="38" xfId="0" applyNumberFormat="1" applyFont="1" applyBorder="1" applyAlignment="1">
      <alignment horizontal="right" shrinkToFit="1"/>
    </xf>
    <xf numFmtId="166" fontId="0" fillId="0" borderId="39" xfId="0" applyNumberFormat="1" applyFont="1" applyBorder="1" applyAlignment="1">
      <alignment horizontal="right" shrinkToFit="1"/>
    </xf>
    <xf numFmtId="0" fontId="0" fillId="0" borderId="34" xfId="0" applyFont="1" applyBorder="1" applyAlignment="1">
      <alignment horizontal="center" vertical="center" shrinkToFit="1"/>
    </xf>
    <xf numFmtId="170" fontId="0" fillId="0" borderId="0" xfId="0" applyNumberFormat="1" applyBorder="1" applyAlignment="1">
      <alignment vertical="center"/>
    </xf>
    <xf numFmtId="165" fontId="0" fillId="0" borderId="27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shrinkToFit="1"/>
    </xf>
    <xf numFmtId="164" fontId="13" fillId="0" borderId="28" xfId="0" applyNumberFormat="1" applyFont="1" applyBorder="1" applyAlignment="1">
      <alignment vertical="center" shrinkToFit="1"/>
    </xf>
    <xf numFmtId="164" fontId="13" fillId="0" borderId="29" xfId="0" applyNumberFormat="1" applyFont="1" applyBorder="1" applyAlignment="1">
      <alignment vertical="center" shrinkToFit="1"/>
    </xf>
    <xf numFmtId="164" fontId="13" fillId="0" borderId="30" xfId="0" applyNumberFormat="1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shrinkToFit="1"/>
    </xf>
    <xf numFmtId="0" fontId="27" fillId="0" borderId="2" xfId="0" applyFont="1" applyBorder="1" applyAlignment="1">
      <alignment horizontal="center" shrinkToFit="1"/>
    </xf>
    <xf numFmtId="165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81" fontId="0" fillId="0" borderId="51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52" xfId="0" applyNumberFormat="1" applyBorder="1" applyAlignment="1">
      <alignment/>
    </xf>
    <xf numFmtId="165" fontId="0" fillId="0" borderId="23" xfId="0" applyNumberFormat="1" applyFont="1" applyBorder="1" applyAlignment="1">
      <alignment shrinkToFit="1"/>
    </xf>
    <xf numFmtId="0" fontId="30" fillId="0" borderId="0" xfId="0" applyFont="1" applyAlignment="1">
      <alignment/>
    </xf>
    <xf numFmtId="181" fontId="0" fillId="0" borderId="2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47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9" xfId="0" applyNumberFormat="1" applyBorder="1" applyAlignment="1">
      <alignment/>
    </xf>
    <xf numFmtId="176" fontId="29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vertical="center" shrinkToFit="1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 vertical="center"/>
    </xf>
    <xf numFmtId="181" fontId="0" fillId="0" borderId="53" xfId="0" applyNumberFormat="1" applyBorder="1" applyAlignment="1">
      <alignment/>
    </xf>
    <xf numFmtId="181" fontId="0" fillId="0" borderId="1" xfId="0" applyNumberFormat="1" applyBorder="1" applyAlignment="1">
      <alignment/>
    </xf>
    <xf numFmtId="167" fontId="0" fillId="0" borderId="43" xfId="0" applyNumberFormat="1" applyFont="1" applyBorder="1" applyAlignment="1">
      <alignment horizontal="right" shrinkToFit="1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8" fontId="0" fillId="0" borderId="27" xfId="0" applyNumberFormat="1" applyFont="1" applyBorder="1" applyAlignment="1">
      <alignment vertical="center" shrinkToFit="1"/>
    </xf>
    <xf numFmtId="168" fontId="0" fillId="0" borderId="27" xfId="0" applyNumberFormat="1" applyFont="1" applyBorder="1" applyAlignment="1">
      <alignment vertical="center" shrinkToFit="1"/>
    </xf>
    <xf numFmtId="181" fontId="0" fillId="0" borderId="16" xfId="0" applyNumberFormat="1" applyBorder="1" applyAlignment="1">
      <alignment/>
    </xf>
    <xf numFmtId="181" fontId="0" fillId="0" borderId="54" xfId="0" applyNumberFormat="1" applyBorder="1" applyAlignment="1">
      <alignment/>
    </xf>
    <xf numFmtId="0" fontId="16" fillId="0" borderId="2" xfId="0" applyFont="1" applyBorder="1" applyAlignment="1">
      <alignment/>
    </xf>
    <xf numFmtId="167" fontId="13" fillId="0" borderId="19" xfId="0" applyNumberFormat="1" applyFont="1" applyBorder="1" applyAlignment="1">
      <alignment horizontal="right" shrinkToFit="1"/>
    </xf>
    <xf numFmtId="167" fontId="13" fillId="0" borderId="39" xfId="0" applyNumberFormat="1" applyFont="1" applyBorder="1" applyAlignment="1">
      <alignment horizontal="right" shrinkToFit="1"/>
    </xf>
    <xf numFmtId="165" fontId="0" fillId="0" borderId="55" xfId="0" applyNumberFormat="1" applyFont="1" applyBorder="1" applyAlignment="1">
      <alignment horizontal="right" shrinkToFit="1"/>
    </xf>
    <xf numFmtId="165" fontId="0" fillId="0" borderId="56" xfId="0" applyNumberFormat="1" applyFont="1" applyBorder="1" applyAlignment="1">
      <alignment horizontal="right" shrinkToFit="1"/>
    </xf>
    <xf numFmtId="167" fontId="16" fillId="0" borderId="48" xfId="0" applyNumberFormat="1" applyFont="1" applyBorder="1" applyAlignment="1">
      <alignment horizontal="right" shrinkToFit="1"/>
    </xf>
    <xf numFmtId="167" fontId="16" fillId="0" borderId="38" xfId="0" applyNumberFormat="1" applyFont="1" applyBorder="1" applyAlignment="1">
      <alignment horizontal="right" shrinkToFit="1"/>
    </xf>
    <xf numFmtId="167" fontId="0" fillId="0" borderId="18" xfId="0" applyNumberFormat="1" applyFont="1" applyBorder="1" applyAlignment="1">
      <alignment horizontal="right" shrinkToFit="1"/>
    </xf>
    <xf numFmtId="167" fontId="0" fillId="0" borderId="42" xfId="0" applyNumberFormat="1" applyFont="1" applyBorder="1" applyAlignment="1">
      <alignment horizontal="right" shrinkToFit="1"/>
    </xf>
    <xf numFmtId="167" fontId="0" fillId="0" borderId="57" xfId="0" applyNumberFormat="1" applyFont="1" applyBorder="1" applyAlignment="1">
      <alignment horizontal="right" shrinkToFit="1"/>
    </xf>
    <xf numFmtId="0" fontId="27" fillId="3" borderId="2" xfId="0" applyFont="1" applyFill="1" applyBorder="1" applyAlignment="1">
      <alignment horizontal="center" vertical="center" shrinkToFit="1"/>
    </xf>
    <xf numFmtId="165" fontId="14" fillId="3" borderId="32" xfId="0" applyNumberFormat="1" applyFont="1" applyFill="1" applyBorder="1" applyAlignment="1">
      <alignment horizontal="right" shrinkToFit="1"/>
    </xf>
    <xf numFmtId="164" fontId="17" fillId="0" borderId="28" xfId="0" applyNumberFormat="1" applyFont="1" applyBorder="1" applyAlignment="1">
      <alignment vertical="center"/>
    </xf>
    <xf numFmtId="174" fontId="0" fillId="0" borderId="27" xfId="0" applyNumberFormat="1" applyBorder="1" applyAlignment="1">
      <alignment vertical="center"/>
    </xf>
    <xf numFmtId="164" fontId="17" fillId="0" borderId="29" xfId="0" applyNumberFormat="1" applyFont="1" applyBorder="1" applyAlignment="1">
      <alignment vertical="center"/>
    </xf>
    <xf numFmtId="174" fontId="0" fillId="0" borderId="17" xfId="0" applyNumberFormat="1" applyBorder="1" applyAlignment="1">
      <alignment vertical="center"/>
    </xf>
    <xf numFmtId="164" fontId="17" fillId="0" borderId="26" xfId="0" applyNumberFormat="1" applyFont="1" applyBorder="1" applyAlignment="1">
      <alignment/>
    </xf>
    <xf numFmtId="174" fontId="0" fillId="0" borderId="25" xfId="0" applyNumberFormat="1" applyBorder="1" applyAlignment="1">
      <alignment vertical="center" shrinkToFit="1"/>
    </xf>
    <xf numFmtId="164" fontId="17" fillId="0" borderId="28" xfId="0" applyNumberFormat="1" applyFont="1" applyBorder="1" applyAlignment="1">
      <alignment/>
    </xf>
    <xf numFmtId="174" fontId="0" fillId="0" borderId="27" xfId="0" applyNumberFormat="1" applyBorder="1" applyAlignment="1">
      <alignment vertical="center" shrinkToFit="1"/>
    </xf>
    <xf numFmtId="174" fontId="0" fillId="0" borderId="17" xfId="0" applyNumberFormat="1" applyBorder="1" applyAlignment="1">
      <alignment vertical="center" shrinkToFit="1"/>
    </xf>
    <xf numFmtId="174" fontId="0" fillId="0" borderId="17" xfId="0" applyNumberFormat="1" applyFont="1" applyBorder="1" applyAlignment="1">
      <alignment shrinkToFit="1"/>
    </xf>
    <xf numFmtId="174" fontId="0" fillId="0" borderId="27" xfId="0" applyNumberFormat="1" applyFont="1" applyBorder="1" applyAlignment="1">
      <alignment vertical="center" shrinkToFit="1"/>
    </xf>
    <xf numFmtId="164" fontId="17" fillId="0" borderId="30" xfId="0" applyNumberFormat="1" applyFon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 vertical="center" shrinkToFi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" borderId="34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172" fontId="0" fillId="0" borderId="43" xfId="0" applyNumberFormat="1" applyBorder="1" applyAlignment="1">
      <alignment/>
    </xf>
    <xf numFmtId="169" fontId="0" fillId="3" borderId="34" xfId="0" applyNumberFormat="1" applyFill="1" applyBorder="1" applyAlignment="1">
      <alignment horizontal="center"/>
    </xf>
    <xf numFmtId="172" fontId="16" fillId="3" borderId="4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 vertical="center" shrinkToFit="1"/>
    </xf>
    <xf numFmtId="164" fontId="17" fillId="0" borderId="6" xfId="0" applyNumberFormat="1" applyFont="1" applyBorder="1" applyAlignment="1">
      <alignment vertical="center"/>
    </xf>
    <xf numFmtId="175" fontId="0" fillId="0" borderId="5" xfId="0" applyNumberFormat="1" applyBorder="1" applyAlignment="1">
      <alignment vertical="center"/>
    </xf>
    <xf numFmtId="0" fontId="0" fillId="0" borderId="2" xfId="0" applyNumberFormat="1" applyBorder="1" applyAlignment="1">
      <alignment/>
    </xf>
    <xf numFmtId="0" fontId="0" fillId="0" borderId="11" xfId="0" applyBorder="1" applyAlignment="1">
      <alignment vertical="center" shrinkToFit="1"/>
    </xf>
    <xf numFmtId="0" fontId="0" fillId="0" borderId="5" xfId="0" applyBorder="1" applyAlignment="1">
      <alignment vertical="center"/>
    </xf>
    <xf numFmtId="2" fontId="13" fillId="0" borderId="2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shrinkToFit="1"/>
    </xf>
    <xf numFmtId="164" fontId="17" fillId="0" borderId="26" xfId="0" applyNumberFormat="1" applyFont="1" applyBorder="1" applyAlignment="1">
      <alignment vertical="center"/>
    </xf>
    <xf numFmtId="170" fontId="0" fillId="0" borderId="7" xfId="0" applyNumberFormat="1" applyBorder="1" applyAlignment="1">
      <alignment vertical="center" shrinkToFit="1"/>
    </xf>
    <xf numFmtId="189" fontId="1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" xfId="0" applyFon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2" xfId="0" applyNumberFormat="1" applyBorder="1" applyAlignment="1">
      <alignment vertical="center" shrinkToFit="1"/>
    </xf>
    <xf numFmtId="170" fontId="0" fillId="0" borderId="14" xfId="0" applyNumberFormat="1" applyBorder="1" applyAlignment="1">
      <alignment vertical="center" shrinkToFit="1"/>
    </xf>
    <xf numFmtId="170" fontId="0" fillId="0" borderId="6" xfId="0" applyNumberFormat="1" applyBorder="1" applyAlignment="1">
      <alignment vertical="center" shrinkToFit="1"/>
    </xf>
    <xf numFmtId="170" fontId="0" fillId="0" borderId="9" xfId="0" applyNumberFormat="1" applyFont="1" applyBorder="1" applyAlignment="1">
      <alignment horizontal="right" shrinkToFit="1"/>
    </xf>
    <xf numFmtId="170" fontId="0" fillId="0" borderId="20" xfId="0" applyNumberFormat="1" applyFont="1" applyBorder="1" applyAlignment="1">
      <alignment horizontal="right" shrinkToFit="1"/>
    </xf>
    <xf numFmtId="170" fontId="35" fillId="0" borderId="10" xfId="0" applyNumberFormat="1" applyFont="1" applyBorder="1" applyAlignment="1">
      <alignment horizontal="right" shrinkToFit="1"/>
    </xf>
    <xf numFmtId="0" fontId="0" fillId="0" borderId="3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37" fillId="0" borderId="28" xfId="0" applyNumberFormat="1" applyFont="1" applyBorder="1" applyAlignment="1">
      <alignment vertical="center"/>
    </xf>
    <xf numFmtId="174" fontId="38" fillId="0" borderId="10" xfId="0" applyNumberFormat="1" applyFont="1" applyBorder="1" applyAlignment="1">
      <alignment vertical="center"/>
    </xf>
    <xf numFmtId="174" fontId="38" fillId="0" borderId="27" xfId="0" applyNumberFormat="1" applyFont="1" applyBorder="1" applyAlignment="1">
      <alignment vertical="center"/>
    </xf>
    <xf numFmtId="165" fontId="38" fillId="0" borderId="27" xfId="0" applyNumberFormat="1" applyFont="1" applyBorder="1" applyAlignment="1">
      <alignment/>
    </xf>
    <xf numFmtId="0" fontId="38" fillId="0" borderId="28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165" fontId="38" fillId="0" borderId="10" xfId="0" applyNumberFormat="1" applyFont="1" applyBorder="1" applyAlignment="1">
      <alignment horizontal="right" shrinkToFit="1"/>
    </xf>
    <xf numFmtId="165" fontId="38" fillId="0" borderId="36" xfId="0" applyNumberFormat="1" applyFont="1" applyBorder="1" applyAlignment="1">
      <alignment horizontal="right" shrinkToFit="1"/>
    </xf>
    <xf numFmtId="167" fontId="38" fillId="0" borderId="10" xfId="0" applyNumberFormat="1" applyFont="1" applyBorder="1" applyAlignment="1">
      <alignment horizontal="right" shrinkToFit="1"/>
    </xf>
    <xf numFmtId="167" fontId="38" fillId="0" borderId="36" xfId="0" applyNumberFormat="1" applyFont="1" applyBorder="1" applyAlignment="1">
      <alignment horizontal="right" shrinkToFit="1"/>
    </xf>
    <xf numFmtId="174" fontId="38" fillId="0" borderId="10" xfId="0" applyNumberFormat="1" applyFont="1" applyBorder="1" applyAlignment="1">
      <alignment vertical="center" shrinkToFit="1"/>
    </xf>
    <xf numFmtId="174" fontId="38" fillId="0" borderId="27" xfId="0" applyNumberFormat="1" applyFont="1" applyBorder="1" applyAlignment="1">
      <alignment vertical="center" shrinkToFit="1"/>
    </xf>
    <xf numFmtId="164" fontId="37" fillId="0" borderId="28" xfId="0" applyNumberFormat="1" applyFont="1" applyBorder="1" applyAlignment="1">
      <alignment/>
    </xf>
    <xf numFmtId="0" fontId="38" fillId="0" borderId="55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70" fontId="40" fillId="0" borderId="10" xfId="0" applyNumberFormat="1" applyFont="1" applyBorder="1" applyAlignment="1">
      <alignment horizontal="right" shrinkToFit="1"/>
    </xf>
    <xf numFmtId="164" fontId="41" fillId="0" borderId="28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vertical="center"/>
    </xf>
    <xf numFmtId="174" fontId="40" fillId="0" borderId="27" xfId="0" applyNumberFormat="1" applyFont="1" applyBorder="1" applyAlignment="1">
      <alignment vertical="center"/>
    </xf>
    <xf numFmtId="189" fontId="40" fillId="0" borderId="27" xfId="0" applyNumberFormat="1" applyFont="1" applyBorder="1" applyAlignment="1">
      <alignment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170" fontId="40" fillId="0" borderId="36" xfId="0" applyNumberFormat="1" applyFont="1" applyBorder="1" applyAlignment="1">
      <alignment horizontal="right" shrinkToFit="1"/>
    </xf>
    <xf numFmtId="170" fontId="40" fillId="0" borderId="13" xfId="0" applyNumberFormat="1" applyFont="1" applyBorder="1" applyAlignment="1">
      <alignment horizontal="right" shrinkToFit="1"/>
    </xf>
    <xf numFmtId="164" fontId="41" fillId="0" borderId="30" xfId="0" applyNumberFormat="1" applyFont="1" applyBorder="1" applyAlignment="1">
      <alignment vertical="center"/>
    </xf>
    <xf numFmtId="174" fontId="40" fillId="0" borderId="31" xfId="0" applyNumberFormat="1" applyFont="1" applyBorder="1" applyAlignment="1">
      <alignment vertical="center" shrinkToFit="1"/>
    </xf>
    <xf numFmtId="165" fontId="40" fillId="0" borderId="37" xfId="0" applyNumberFormat="1" applyFont="1" applyBorder="1" applyAlignment="1">
      <alignment/>
    </xf>
    <xf numFmtId="0" fontId="40" fillId="0" borderId="30" xfId="0" applyFont="1" applyBorder="1" applyAlignment="1">
      <alignment horizontal="center" vertical="center" shrinkToFit="1"/>
    </xf>
    <xf numFmtId="0" fontId="40" fillId="0" borderId="3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65" fontId="0" fillId="0" borderId="12" xfId="0" applyNumberFormat="1" applyBorder="1" applyAlignment="1">
      <alignment vertical="center" shrinkToFit="1"/>
    </xf>
    <xf numFmtId="167" fontId="0" fillId="0" borderId="12" xfId="0" applyNumberFormat="1" applyBorder="1" applyAlignment="1">
      <alignment vertical="center" shrinkToFit="1"/>
    </xf>
    <xf numFmtId="170" fontId="0" fillId="0" borderId="55" xfId="0" applyNumberFormat="1" applyBorder="1" applyAlignment="1">
      <alignment/>
    </xf>
    <xf numFmtId="177" fontId="40" fillId="0" borderId="38" xfId="0" applyNumberFormat="1" applyFont="1" applyBorder="1" applyAlignment="1">
      <alignment horizontal="right" shrinkToFit="1"/>
    </xf>
    <xf numFmtId="170" fontId="13" fillId="0" borderId="2" xfId="0" applyNumberFormat="1" applyFont="1" applyBorder="1" applyAlignment="1">
      <alignment horizontal="center" vertical="center"/>
    </xf>
    <xf numFmtId="168" fontId="13" fillId="3" borderId="47" xfId="0" applyNumberFormat="1" applyFont="1" applyFill="1" applyBorder="1" applyAlignment="1">
      <alignment vertical="center" shrinkToFit="1"/>
    </xf>
    <xf numFmtId="170" fontId="0" fillId="0" borderId="27" xfId="0" applyNumberFormat="1" applyFont="1" applyBorder="1" applyAlignment="1">
      <alignment/>
    </xf>
    <xf numFmtId="173" fontId="0" fillId="3" borderId="47" xfId="0" applyNumberFormat="1" applyFill="1" applyBorder="1" applyAlignment="1">
      <alignment horizontal="center" vertical="center"/>
    </xf>
    <xf numFmtId="173" fontId="0" fillId="3" borderId="13" xfId="0" applyNumberFormat="1" applyFill="1" applyBorder="1" applyAlignment="1">
      <alignment horizontal="center" vertical="center"/>
    </xf>
    <xf numFmtId="192" fontId="14" fillId="3" borderId="49" xfId="0" applyNumberFormat="1" applyFont="1" applyFill="1" applyBorder="1" applyAlignment="1">
      <alignment horizontal="right" shrinkToFit="1"/>
    </xf>
    <xf numFmtId="173" fontId="0" fillId="3" borderId="13" xfId="0" applyNumberFormat="1" applyFill="1" applyBorder="1" applyAlignment="1">
      <alignment horizontal="center" vertical="center" shrinkToFit="1"/>
    </xf>
    <xf numFmtId="173" fontId="0" fillId="3" borderId="47" xfId="0" applyNumberFormat="1" applyFill="1" applyBorder="1" applyAlignment="1">
      <alignment horizontal="center" vertical="center" shrinkToFit="1"/>
    </xf>
    <xf numFmtId="1" fontId="0" fillId="3" borderId="16" xfId="0" applyNumberFormat="1" applyFont="1" applyFill="1" applyBorder="1" applyAlignment="1">
      <alignment horizontal="center"/>
    </xf>
    <xf numFmtId="1" fontId="0" fillId="3" borderId="58" xfId="0" applyNumberFormat="1" applyFont="1" applyFill="1" applyBorder="1" applyAlignment="1">
      <alignment horizontal="center"/>
    </xf>
    <xf numFmtId="169" fontId="0" fillId="3" borderId="47" xfId="0" applyNumberFormat="1" applyFont="1" applyFill="1" applyBorder="1" applyAlignment="1">
      <alignment/>
    </xf>
    <xf numFmtId="170" fontId="0" fillId="0" borderId="17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64" fontId="0" fillId="3" borderId="47" xfId="0" applyNumberFormat="1" applyFill="1" applyBorder="1" applyAlignment="1">
      <alignment vertical="center"/>
    </xf>
    <xf numFmtId="164" fontId="17" fillId="3" borderId="49" xfId="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vertical="center" shrinkToFit="1"/>
    </xf>
    <xf numFmtId="174" fontId="0" fillId="0" borderId="2" xfId="0" applyNumberFormat="1" applyBorder="1" applyAlignment="1">
      <alignment vertical="center"/>
    </xf>
    <xf numFmtId="174" fontId="0" fillId="0" borderId="4" xfId="0" applyNumberFormat="1" applyBorder="1" applyAlignment="1">
      <alignment vertical="center"/>
    </xf>
    <xf numFmtId="170" fontId="0" fillId="0" borderId="25" xfId="0" applyNumberFormat="1" applyFont="1" applyBorder="1" applyAlignment="1">
      <alignment/>
    </xf>
    <xf numFmtId="168" fontId="43" fillId="0" borderId="26" xfId="0" applyNumberFormat="1" applyFont="1" applyBorder="1" applyAlignment="1">
      <alignment vertical="center" shrinkToFit="1"/>
    </xf>
    <xf numFmtId="168" fontId="40" fillId="0" borderId="28" xfId="0" applyNumberFormat="1" applyFont="1" applyBorder="1" applyAlignment="1">
      <alignment vertical="center" shrinkToFit="1"/>
    </xf>
    <xf numFmtId="168" fontId="38" fillId="0" borderId="28" xfId="0" applyNumberFormat="1" applyFont="1" applyBorder="1" applyAlignment="1">
      <alignment vertical="center"/>
    </xf>
    <xf numFmtId="168" fontId="43" fillId="0" borderId="28" xfId="0" applyNumberFormat="1" applyFont="1" applyBorder="1" applyAlignment="1">
      <alignment vertical="center"/>
    </xf>
    <xf numFmtId="168" fontId="43" fillId="0" borderId="28" xfId="0" applyNumberFormat="1" applyFont="1" applyBorder="1" applyAlignment="1">
      <alignment vertical="center" shrinkToFit="1"/>
    </xf>
    <xf numFmtId="168" fontId="38" fillId="0" borderId="28" xfId="0" applyNumberFormat="1" applyFont="1" applyBorder="1" applyAlignment="1">
      <alignment vertical="center" shrinkToFit="1"/>
    </xf>
    <xf numFmtId="168" fontId="40" fillId="0" borderId="30" xfId="0" applyNumberFormat="1" applyFont="1" applyBorder="1" applyAlignment="1">
      <alignment vertical="center" shrinkToFit="1"/>
    </xf>
    <xf numFmtId="172" fontId="8" fillId="0" borderId="0" xfId="0" applyNumberFormat="1" applyFont="1" applyAlignment="1">
      <alignment vertical="center" shrinkToFit="1"/>
    </xf>
    <xf numFmtId="174" fontId="0" fillId="0" borderId="12" xfId="0" applyNumberFormat="1" applyFont="1" applyBorder="1" applyAlignment="1">
      <alignment/>
    </xf>
    <xf numFmtId="170" fontId="0" fillId="0" borderId="12" xfId="0" applyNumberFormat="1" applyFont="1" applyBorder="1" applyAlignment="1">
      <alignment vertical="center" shrinkToFit="1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70" fontId="0" fillId="0" borderId="56" xfId="0" applyNumberFormat="1" applyBorder="1" applyAlignment="1">
      <alignment/>
    </xf>
    <xf numFmtId="174" fontId="40" fillId="0" borderId="31" xfId="0" applyNumberFormat="1" applyFont="1" applyBorder="1" applyAlignment="1">
      <alignment vertical="center"/>
    </xf>
    <xf numFmtId="174" fontId="40" fillId="0" borderId="38" xfId="0" applyNumberFormat="1" applyFont="1" applyBorder="1" applyAlignment="1">
      <alignment vertical="center"/>
    </xf>
    <xf numFmtId="168" fontId="40" fillId="0" borderId="30" xfId="0" applyNumberFormat="1" applyFont="1" applyBorder="1" applyAlignment="1">
      <alignment vertical="center"/>
    </xf>
    <xf numFmtId="165" fontId="40" fillId="0" borderId="38" xfId="0" applyNumberFormat="1" applyFont="1" applyBorder="1" applyAlignment="1">
      <alignment/>
    </xf>
    <xf numFmtId="0" fontId="0" fillId="0" borderId="31" xfId="0" applyBorder="1" applyAlignment="1">
      <alignment vertical="center" shrinkToFit="1"/>
    </xf>
    <xf numFmtId="174" fontId="40" fillId="0" borderId="38" xfId="0" applyNumberFormat="1" applyFont="1" applyBorder="1" applyAlignment="1">
      <alignment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93" fontId="0" fillId="0" borderId="9" xfId="0" applyNumberFormat="1" applyBorder="1" applyAlignment="1">
      <alignment horizontal="center" vertical="center" shrinkToFit="1"/>
    </xf>
    <xf numFmtId="193" fontId="40" fillId="0" borderId="10" xfId="0" applyNumberFormat="1" applyFont="1" applyBorder="1" applyAlignment="1">
      <alignment horizontal="center" vertical="center" shrinkToFit="1"/>
    </xf>
    <xf numFmtId="193" fontId="40" fillId="0" borderId="31" xfId="0" applyNumberFormat="1" applyFont="1" applyBorder="1" applyAlignment="1">
      <alignment horizontal="center" vertical="center" shrinkToFit="1"/>
    </xf>
    <xf numFmtId="193" fontId="38" fillId="0" borderId="10" xfId="0" applyNumberFormat="1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73" fontId="40" fillId="0" borderId="31" xfId="0" applyNumberFormat="1" applyFont="1" applyBorder="1" applyAlignment="1">
      <alignment horizontal="center" vertical="center" shrinkToFit="1"/>
    </xf>
    <xf numFmtId="173" fontId="38" fillId="0" borderId="10" xfId="0" applyNumberFormat="1" applyFont="1" applyBorder="1" applyAlignment="1">
      <alignment horizontal="center" vertical="center" shrinkToFit="1"/>
    </xf>
    <xf numFmtId="193" fontId="38" fillId="0" borderId="10" xfId="0" applyNumberFormat="1" applyFont="1" applyBorder="1" applyAlignment="1">
      <alignment horizontal="center" vertical="center"/>
    </xf>
    <xf numFmtId="165" fontId="38" fillId="0" borderId="13" xfId="0" applyNumberFormat="1" applyFont="1" applyBorder="1" applyAlignment="1">
      <alignment horizontal="right" shrinkToFit="1"/>
    </xf>
    <xf numFmtId="167" fontId="0" fillId="4" borderId="2" xfId="0" applyNumberFormat="1" applyFont="1" applyFill="1" applyBorder="1" applyAlignment="1">
      <alignment horizontal="right" shrinkToFit="1"/>
    </xf>
    <xf numFmtId="165" fontId="38" fillId="4" borderId="2" xfId="0" applyNumberFormat="1" applyFont="1" applyFill="1" applyBorder="1" applyAlignment="1">
      <alignment horizontal="right" shrinkToFit="1"/>
    </xf>
    <xf numFmtId="167" fontId="0" fillId="4" borderId="2" xfId="0" applyNumberFormat="1" applyFont="1" applyFill="1" applyBorder="1" applyAlignment="1">
      <alignment horizontal="right" shrinkToFit="1"/>
    </xf>
    <xf numFmtId="167" fontId="38" fillId="4" borderId="2" xfId="0" applyNumberFormat="1" applyFont="1" applyFill="1" applyBorder="1" applyAlignment="1">
      <alignment horizontal="right" shrinkToFit="1"/>
    </xf>
    <xf numFmtId="177" fontId="40" fillId="3" borderId="10" xfId="0" applyNumberFormat="1" applyFont="1" applyFill="1" applyBorder="1" applyAlignment="1">
      <alignment horizontal="right" shrinkToFit="1"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167" fontId="0" fillId="0" borderId="10" xfId="0" applyNumberFormat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165" fontId="0" fillId="5" borderId="10" xfId="0" applyNumberFormat="1" applyFont="1" applyFill="1" applyBorder="1" applyAlignment="1">
      <alignment horizontal="right" shrinkToFit="1"/>
    </xf>
    <xf numFmtId="165" fontId="40" fillId="5" borderId="10" xfId="0" applyNumberFormat="1" applyFont="1" applyFill="1" applyBorder="1" applyAlignment="1">
      <alignment horizontal="right" shrinkToFit="1"/>
    </xf>
    <xf numFmtId="165" fontId="40" fillId="5" borderId="31" xfId="0" applyNumberFormat="1" applyFont="1" applyFill="1" applyBorder="1" applyAlignment="1">
      <alignment horizontal="right" shrinkToFit="1"/>
    </xf>
    <xf numFmtId="165" fontId="40" fillId="5" borderId="28" xfId="0" applyNumberFormat="1" applyFont="1" applyFill="1" applyBorder="1" applyAlignment="1">
      <alignment horizontal="right" shrinkToFit="1"/>
    </xf>
    <xf numFmtId="165" fontId="40" fillId="5" borderId="30" xfId="0" applyNumberFormat="1" applyFont="1" applyFill="1" applyBorder="1" applyAlignment="1">
      <alignment horizontal="right" shrinkToFit="1"/>
    </xf>
    <xf numFmtId="165" fontId="0" fillId="5" borderId="28" xfId="0" applyNumberFormat="1" applyFont="1" applyFill="1" applyBorder="1" applyAlignment="1">
      <alignment horizontal="right" shrinkToFit="1"/>
    </xf>
    <xf numFmtId="165" fontId="15" fillId="5" borderId="28" xfId="0" applyNumberFormat="1" applyFont="1" applyFill="1" applyBorder="1" applyAlignment="1">
      <alignment horizontal="right" shrinkToFit="1"/>
    </xf>
    <xf numFmtId="165" fontId="15" fillId="5" borderId="10" xfId="0" applyNumberFormat="1" applyFont="1" applyFill="1" applyBorder="1" applyAlignment="1">
      <alignment horizontal="right" shrinkToFit="1"/>
    </xf>
    <xf numFmtId="165" fontId="0" fillId="5" borderId="36" xfId="0" applyNumberFormat="1" applyFont="1" applyFill="1" applyBorder="1" applyAlignment="1">
      <alignment horizontal="right" shrinkToFit="1"/>
    </xf>
    <xf numFmtId="165" fontId="40" fillId="5" borderId="36" xfId="0" applyNumberFormat="1" applyFont="1" applyFill="1" applyBorder="1" applyAlignment="1">
      <alignment horizontal="right" shrinkToFit="1"/>
    </xf>
    <xf numFmtId="165" fontId="40" fillId="5" borderId="38" xfId="0" applyNumberFormat="1" applyFont="1" applyFill="1" applyBorder="1" applyAlignment="1">
      <alignment horizontal="right" shrinkToFit="1"/>
    </xf>
    <xf numFmtId="167" fontId="0" fillId="4" borderId="13" xfId="0" applyNumberFormat="1" applyFont="1" applyFill="1" applyBorder="1" applyAlignment="1">
      <alignment horizontal="right" shrinkToFit="1"/>
    </xf>
    <xf numFmtId="1" fontId="0" fillId="0" borderId="41" xfId="0" applyNumberFormat="1" applyBorder="1" applyAlignment="1">
      <alignment horizontal="center"/>
    </xf>
    <xf numFmtId="1" fontId="40" fillId="0" borderId="43" xfId="0" applyNumberFormat="1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38" fillId="0" borderId="43" xfId="0" applyNumberFormat="1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0" fillId="4" borderId="13" xfId="0" applyFill="1" applyBorder="1" applyAlignment="1">
      <alignment horizontal="right" vertical="center"/>
    </xf>
    <xf numFmtId="165" fontId="0" fillId="6" borderId="2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74" fontId="0" fillId="0" borderId="24" xfId="0" applyNumberFormat="1" applyFill="1" applyBorder="1" applyAlignment="1">
      <alignment horizontal="center" vertical="center"/>
    </xf>
    <xf numFmtId="174" fontId="0" fillId="0" borderId="4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8" fontId="0" fillId="6" borderId="46" xfId="0" applyNumberFormat="1" applyFill="1" applyBorder="1" applyAlignment="1">
      <alignment/>
    </xf>
    <xf numFmtId="168" fontId="0" fillId="6" borderId="47" xfId="0" applyNumberFormat="1" applyFill="1" applyBorder="1" applyAlignment="1">
      <alignment/>
    </xf>
    <xf numFmtId="189" fontId="17" fillId="0" borderId="45" xfId="0" applyNumberFormat="1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4" fontId="0" fillId="0" borderId="26" xfId="0" applyNumberFormat="1" applyFill="1" applyBorder="1" applyAlignment="1">
      <alignment horizontal="center" vertical="center"/>
    </xf>
    <xf numFmtId="174" fontId="0" fillId="0" borderId="61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168" fontId="0" fillId="0" borderId="3" xfId="0" applyNumberFormat="1" applyFill="1" applyBorder="1" applyAlignment="1">
      <alignment horizontal="center"/>
    </xf>
    <xf numFmtId="167" fontId="0" fillId="0" borderId="62" xfId="0" applyNumberFormat="1" applyBorder="1" applyAlignment="1">
      <alignment horizontal="center"/>
    </xf>
    <xf numFmtId="0" fontId="0" fillId="0" borderId="61" xfId="0" applyBorder="1" applyAlignment="1">
      <alignment/>
    </xf>
    <xf numFmtId="168" fontId="0" fillId="0" borderId="2" xfId="0" applyNumberFormat="1" applyFill="1" applyBorder="1" applyAlignment="1">
      <alignment horizontal="center"/>
    </xf>
    <xf numFmtId="170" fontId="0" fillId="0" borderId="48" xfId="0" applyNumberFormat="1" applyBorder="1" applyAlignment="1">
      <alignment vertical="center"/>
    </xf>
    <xf numFmtId="176" fontId="29" fillId="0" borderId="4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193" fontId="0" fillId="0" borderId="10" xfId="0" applyNumberFormat="1" applyBorder="1" applyAlignment="1">
      <alignment horizontal="center" vertical="center" shrinkToFit="1"/>
    </xf>
    <xf numFmtId="177" fontId="40" fillId="0" borderId="29" xfId="0" applyNumberFormat="1" applyFont="1" applyBorder="1" applyAlignment="1">
      <alignment horizontal="right" shrinkToFit="1"/>
    </xf>
    <xf numFmtId="167" fontId="0" fillId="4" borderId="24" xfId="0" applyNumberFormat="1" applyFont="1" applyFill="1" applyBorder="1" applyAlignment="1">
      <alignment horizontal="right" shrinkToFit="1"/>
    </xf>
    <xf numFmtId="0" fontId="0" fillId="0" borderId="30" xfId="0" applyBorder="1" applyAlignment="1">
      <alignment vertical="center" shrinkToFit="1"/>
    </xf>
    <xf numFmtId="167" fontId="0" fillId="4" borderId="24" xfId="0" applyNumberFormat="1" applyFont="1" applyFill="1" applyBorder="1" applyAlignment="1">
      <alignment horizontal="right" shrinkToFit="1"/>
    </xf>
    <xf numFmtId="173" fontId="0" fillId="0" borderId="20" xfId="0" applyNumberFormat="1" applyBorder="1" applyAlignment="1">
      <alignment horizontal="center" vertical="center" shrinkToFit="1"/>
    </xf>
    <xf numFmtId="173" fontId="0" fillId="0" borderId="36" xfId="0" applyNumberFormat="1" applyBorder="1" applyAlignment="1">
      <alignment horizontal="center" vertical="center" shrinkToFit="1"/>
    </xf>
    <xf numFmtId="173" fontId="0" fillId="0" borderId="38" xfId="0" applyNumberForma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177" fontId="0" fillId="0" borderId="15" xfId="0" applyNumberFormat="1" applyFont="1" applyBorder="1" applyAlignment="1">
      <alignment horizontal="right" shrinkToFit="1"/>
    </xf>
    <xf numFmtId="0" fontId="27" fillId="0" borderId="63" xfId="0" applyFont="1" applyBorder="1" applyAlignment="1">
      <alignment horizontal="center" shrinkToFit="1"/>
    </xf>
    <xf numFmtId="0" fontId="27" fillId="0" borderId="23" xfId="0" applyFont="1" applyBorder="1" applyAlignment="1">
      <alignment horizont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165" fontId="14" fillId="5" borderId="19" xfId="0" applyNumberFormat="1" applyFont="1" applyFill="1" applyBorder="1" applyAlignment="1">
      <alignment horizontal="right" shrinkToFit="1"/>
    </xf>
    <xf numFmtId="165" fontId="40" fillId="5" borderId="19" xfId="0" applyNumberFormat="1" applyFont="1" applyFill="1" applyBorder="1" applyAlignment="1">
      <alignment horizontal="right" shrinkToFit="1"/>
    </xf>
    <xf numFmtId="165" fontId="0" fillId="5" borderId="19" xfId="0" applyNumberFormat="1" applyFont="1" applyFill="1" applyBorder="1" applyAlignment="1">
      <alignment horizontal="right" shrinkToFit="1"/>
    </xf>
    <xf numFmtId="168" fontId="0" fillId="0" borderId="2" xfId="0" applyNumberFormat="1" applyBorder="1" applyAlignment="1">
      <alignment horizontal="center" vertical="center"/>
    </xf>
    <xf numFmtId="165" fontId="40" fillId="3" borderId="26" xfId="0" applyNumberFormat="1" applyFont="1" applyFill="1" applyBorder="1" applyAlignment="1">
      <alignment horizontal="right" shrinkToFit="1"/>
    </xf>
    <xf numFmtId="165" fontId="40" fillId="3" borderId="28" xfId="0" applyNumberFormat="1" applyFont="1" applyFill="1" applyBorder="1" applyAlignment="1">
      <alignment horizontal="right" shrinkToFit="1"/>
    </xf>
    <xf numFmtId="165" fontId="40" fillId="3" borderId="30" xfId="0" applyNumberFormat="1" applyFont="1" applyFill="1" applyBorder="1" applyAlignment="1">
      <alignment horizontal="right" shrinkToFit="1"/>
    </xf>
    <xf numFmtId="165" fontId="0" fillId="3" borderId="28" xfId="0" applyNumberFormat="1" applyFont="1" applyFill="1" applyBorder="1" applyAlignment="1">
      <alignment horizontal="right" shrinkToFit="1"/>
    </xf>
    <xf numFmtId="0" fontId="27" fillId="0" borderId="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0" fontId="35" fillId="0" borderId="6" xfId="0" applyNumberFormat="1" applyFont="1" applyBorder="1" applyAlignment="1">
      <alignment horizontal="right" shrinkToFit="1"/>
    </xf>
    <xf numFmtId="167" fontId="0" fillId="0" borderId="6" xfId="0" applyNumberFormat="1" applyFont="1" applyBorder="1" applyAlignment="1">
      <alignment horizontal="right" shrinkToFit="1"/>
    </xf>
    <xf numFmtId="165" fontId="38" fillId="4" borderId="12" xfId="0" applyNumberFormat="1" applyFont="1" applyFill="1" applyBorder="1" applyAlignment="1">
      <alignment horizontal="right" shrinkToFit="1"/>
    </xf>
    <xf numFmtId="165" fontId="38" fillId="0" borderId="7" xfId="0" applyNumberFormat="1" applyFont="1" applyBorder="1" applyAlignment="1">
      <alignment horizontal="right" shrinkToFit="1"/>
    </xf>
    <xf numFmtId="165" fontId="40" fillId="3" borderId="47" xfId="0" applyNumberFormat="1" applyFont="1" applyFill="1" applyBorder="1" applyAlignment="1">
      <alignment horizontal="right" shrinkToFit="1"/>
    </xf>
    <xf numFmtId="0" fontId="28" fillId="0" borderId="2" xfId="0" applyFont="1" applyBorder="1" applyAlignment="1">
      <alignment horizontal="center" vertical="center" shrinkToFit="1"/>
    </xf>
    <xf numFmtId="49" fontId="0" fillId="0" borderId="6" xfId="0" applyNumberFormat="1" applyBorder="1" applyAlignment="1">
      <alignment vertical="center"/>
    </xf>
    <xf numFmtId="168" fontId="0" fillId="0" borderId="19" xfId="0" applyNumberFormat="1" applyFont="1" applyBorder="1" applyAlignment="1">
      <alignment/>
    </xf>
    <xf numFmtId="165" fontId="0" fillId="0" borderId="36" xfId="0" applyNumberFormat="1" applyFont="1" applyBorder="1" applyAlignment="1">
      <alignment/>
    </xf>
    <xf numFmtId="174" fontId="40" fillId="0" borderId="37" xfId="0" applyNumberFormat="1" applyFont="1" applyBorder="1" applyAlignment="1">
      <alignment vertical="center"/>
    </xf>
    <xf numFmtId="189" fontId="40" fillId="0" borderId="37" xfId="0" applyNumberFormat="1" applyFont="1" applyBorder="1" applyAlignment="1">
      <alignment shrinkToFit="1"/>
    </xf>
    <xf numFmtId="177" fontId="40" fillId="3" borderId="31" xfId="0" applyNumberFormat="1" applyFont="1" applyFill="1" applyBorder="1" applyAlignment="1">
      <alignment horizontal="right" shrinkToFit="1"/>
    </xf>
    <xf numFmtId="165" fontId="40" fillId="3" borderId="31" xfId="0" applyNumberFormat="1" applyFont="1" applyFill="1" applyBorder="1" applyAlignment="1">
      <alignment horizontal="right" shrinkToFit="1"/>
    </xf>
    <xf numFmtId="170" fontId="40" fillId="0" borderId="38" xfId="0" applyNumberFormat="1" applyFont="1" applyBorder="1" applyAlignment="1">
      <alignment horizontal="right" shrinkToFit="1"/>
    </xf>
    <xf numFmtId="165" fontId="40" fillId="3" borderId="18" xfId="0" applyNumberFormat="1" applyFont="1" applyFill="1" applyBorder="1" applyAlignment="1">
      <alignment horizontal="right" shrinkToFit="1"/>
    </xf>
    <xf numFmtId="165" fontId="38" fillId="4" borderId="15" xfId="0" applyNumberFormat="1" applyFont="1" applyFill="1" applyBorder="1" applyAlignment="1">
      <alignment horizontal="right" shrinkToFit="1"/>
    </xf>
    <xf numFmtId="165" fontId="40" fillId="3" borderId="19" xfId="0" applyNumberFormat="1" applyFont="1" applyFill="1" applyBorder="1" applyAlignment="1">
      <alignment horizontal="right" shrinkToFit="1"/>
    </xf>
    <xf numFmtId="165" fontId="40" fillId="3" borderId="39" xfId="0" applyNumberFormat="1" applyFont="1" applyFill="1" applyBorder="1" applyAlignment="1">
      <alignment horizontal="right" shrinkToFit="1"/>
    </xf>
    <xf numFmtId="165" fontId="40" fillId="3" borderId="5" xfId="0" applyNumberFormat="1" applyFont="1" applyFill="1" applyBorder="1" applyAlignment="1">
      <alignment horizontal="right" shrinkToFit="1"/>
    </xf>
    <xf numFmtId="165" fontId="40" fillId="3" borderId="45" xfId="0" applyNumberFormat="1" applyFont="1" applyFill="1" applyBorder="1" applyAlignment="1">
      <alignment horizontal="right" shrinkToFit="1"/>
    </xf>
    <xf numFmtId="165" fontId="0" fillId="3" borderId="18" xfId="0" applyNumberFormat="1" applyFont="1" applyFill="1" applyBorder="1" applyAlignment="1">
      <alignment horizontal="right" shrinkToFit="1"/>
    </xf>
    <xf numFmtId="165" fontId="0" fillId="3" borderId="19" xfId="0" applyNumberFormat="1" applyFont="1" applyFill="1" applyBorder="1" applyAlignment="1">
      <alignment horizontal="right" shrinkToFit="1"/>
    </xf>
    <xf numFmtId="167" fontId="0" fillId="4" borderId="15" xfId="0" applyNumberFormat="1" applyFont="1" applyFill="1" applyBorder="1" applyAlignment="1">
      <alignment horizontal="right" shrinkToFit="1"/>
    </xf>
    <xf numFmtId="165" fontId="40" fillId="3" borderId="50" xfId="0" applyNumberFormat="1" applyFont="1" applyFill="1" applyBorder="1" applyAlignment="1">
      <alignment horizontal="right" shrinkToFit="1"/>
    </xf>
    <xf numFmtId="165" fontId="0" fillId="5" borderId="67" xfId="0" applyNumberFormat="1" applyFont="1" applyFill="1" applyBorder="1" applyAlignment="1">
      <alignment horizontal="right" shrinkToFit="1"/>
    </xf>
    <xf numFmtId="165" fontId="0" fillId="5" borderId="57" xfId="0" applyNumberFormat="1" applyFont="1" applyFill="1" applyBorder="1" applyAlignment="1">
      <alignment horizontal="right" shrinkToFit="1"/>
    </xf>
    <xf numFmtId="165" fontId="15" fillId="5" borderId="57" xfId="0" applyNumberFormat="1" applyFont="1" applyFill="1" applyBorder="1" applyAlignment="1">
      <alignment horizontal="right" shrinkToFit="1"/>
    </xf>
    <xf numFmtId="165" fontId="0" fillId="5" borderId="68" xfId="0" applyNumberFormat="1" applyFont="1" applyFill="1" applyBorder="1" applyAlignment="1">
      <alignment horizontal="right" shrinkToFit="1"/>
    </xf>
    <xf numFmtId="164" fontId="17" fillId="0" borderId="0" xfId="0" applyNumberFormat="1" applyFont="1" applyBorder="1" applyAlignment="1">
      <alignment vertical="center"/>
    </xf>
    <xf numFmtId="174" fontId="0" fillId="0" borderId="24" xfId="0" applyNumberFormat="1" applyBorder="1" applyAlignment="1">
      <alignment vertical="center"/>
    </xf>
    <xf numFmtId="174" fontId="0" fillId="0" borderId="28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74" fontId="0" fillId="0" borderId="20" xfId="0" applyNumberFormat="1" applyBorder="1" applyAlignment="1">
      <alignment vertical="center"/>
    </xf>
    <xf numFmtId="174" fontId="0" fillId="0" borderId="36" xfId="0" applyNumberFormat="1" applyBorder="1" applyAlignment="1">
      <alignment vertical="center"/>
    </xf>
    <xf numFmtId="174" fontId="0" fillId="0" borderId="33" xfId="0" applyNumberFormat="1" applyBorder="1" applyAlignment="1">
      <alignment vertical="center"/>
    </xf>
    <xf numFmtId="11" fontId="0" fillId="0" borderId="6" xfId="0" applyNumberFormat="1" applyFont="1" applyBorder="1" applyAlignment="1">
      <alignment shrinkToFit="1"/>
    </xf>
    <xf numFmtId="174" fontId="8" fillId="0" borderId="12" xfId="0" applyNumberFormat="1" applyFont="1" applyBorder="1" applyAlignment="1">
      <alignment/>
    </xf>
    <xf numFmtId="170" fontId="8" fillId="0" borderId="12" xfId="0" applyNumberFormat="1" applyFont="1" applyBorder="1" applyAlignment="1">
      <alignment vertical="center" shrinkToFit="1"/>
    </xf>
    <xf numFmtId="167" fontId="0" fillId="0" borderId="7" xfId="0" applyNumberFormat="1" applyBorder="1" applyAlignment="1">
      <alignment vertical="center" shrinkToFit="1"/>
    </xf>
    <xf numFmtId="189" fontId="17" fillId="0" borderId="12" xfId="0" applyNumberFormat="1" applyFont="1" applyBorder="1" applyAlignment="1">
      <alignment horizontal="center" vertical="center"/>
    </xf>
    <xf numFmtId="164" fontId="45" fillId="0" borderId="24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/>
    </xf>
    <xf numFmtId="167" fontId="16" fillId="0" borderId="33" xfId="0" applyNumberFormat="1" applyFont="1" applyBorder="1" applyAlignment="1">
      <alignment horizontal="right" shrinkToFit="1"/>
    </xf>
    <xf numFmtId="167" fontId="18" fillId="0" borderId="13" xfId="0" applyNumberFormat="1" applyFont="1" applyBorder="1" applyAlignment="1">
      <alignment horizontal="right" shrinkToFit="1"/>
    </xf>
    <xf numFmtId="170" fontId="0" fillId="0" borderId="27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 shrinkToFit="1"/>
    </xf>
    <xf numFmtId="0" fontId="2" fillId="0" borderId="2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 shrinkToFit="1"/>
    </xf>
    <xf numFmtId="168" fontId="44" fillId="0" borderId="0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vertical="center" shrinkToFit="1"/>
    </xf>
    <xf numFmtId="164" fontId="17" fillId="0" borderId="28" xfId="0" applyNumberFormat="1" applyFont="1" applyBorder="1" applyAlignment="1">
      <alignment/>
    </xf>
    <xf numFmtId="181" fontId="0" fillId="0" borderId="52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85" fontId="0" fillId="0" borderId="0" xfId="0" applyNumberFormat="1" applyAlignment="1">
      <alignment/>
    </xf>
    <xf numFmtId="0" fontId="0" fillId="3" borderId="2" xfId="0" applyFill="1" applyBorder="1" applyAlignment="1">
      <alignment vertical="center"/>
    </xf>
    <xf numFmtId="177" fontId="0" fillId="3" borderId="65" xfId="0" applyNumberFormat="1" applyFont="1" applyFill="1" applyBorder="1" applyAlignment="1">
      <alignment/>
    </xf>
    <xf numFmtId="177" fontId="0" fillId="3" borderId="55" xfId="0" applyNumberFormat="1" applyFont="1" applyFill="1" applyBorder="1" applyAlignment="1">
      <alignment/>
    </xf>
    <xf numFmtId="177" fontId="0" fillId="3" borderId="51" xfId="0" applyNumberFormat="1" applyFont="1" applyFill="1" applyBorder="1" applyAlignment="1">
      <alignment/>
    </xf>
    <xf numFmtId="164" fontId="0" fillId="0" borderId="34" xfId="0" applyNumberFormat="1" applyBorder="1" applyAlignment="1">
      <alignment/>
    </xf>
    <xf numFmtId="0" fontId="0" fillId="0" borderId="52" xfId="0" applyBorder="1" applyAlignment="1">
      <alignment horizontal="center"/>
    </xf>
    <xf numFmtId="174" fontId="0" fillId="0" borderId="38" xfId="0" applyNumberFormat="1" applyBorder="1" applyAlignment="1">
      <alignment vertical="center"/>
    </xf>
    <xf numFmtId="177" fontId="0" fillId="3" borderId="56" xfId="0" applyNumberFormat="1" applyFont="1" applyFill="1" applyBorder="1" applyAlignment="1">
      <alignment/>
    </xf>
    <xf numFmtId="164" fontId="17" fillId="0" borderId="26" xfId="0" applyNumberFormat="1" applyFont="1" applyBorder="1" applyAlignment="1">
      <alignment/>
    </xf>
    <xf numFmtId="177" fontId="0" fillId="0" borderId="4" xfId="0" applyNumberFormat="1" applyFont="1" applyBorder="1" applyAlignment="1">
      <alignment horizontal="right" shrinkToFit="1"/>
    </xf>
    <xf numFmtId="177" fontId="0" fillId="0" borderId="27" xfId="0" applyNumberFormat="1" applyFont="1" applyBorder="1" applyAlignment="1">
      <alignment horizontal="right" shrinkToFit="1"/>
    </xf>
    <xf numFmtId="177" fontId="14" fillId="0" borderId="27" xfId="0" applyNumberFormat="1" applyFont="1" applyBorder="1" applyAlignment="1">
      <alignment horizontal="right" shrinkToFit="1"/>
    </xf>
    <xf numFmtId="177" fontId="14" fillId="0" borderId="17" xfId="0" applyNumberFormat="1" applyFont="1" applyBorder="1" applyAlignment="1">
      <alignment horizontal="right" shrinkToFit="1"/>
    </xf>
    <xf numFmtId="177" fontId="0" fillId="0" borderId="17" xfId="0" applyNumberFormat="1" applyFont="1" applyBorder="1" applyAlignment="1">
      <alignment horizontal="right" shrinkToFit="1"/>
    </xf>
    <xf numFmtId="177" fontId="0" fillId="0" borderId="37" xfId="0" applyNumberFormat="1" applyFont="1" applyBorder="1" applyAlignment="1">
      <alignment horizontal="right" shrinkToFit="1"/>
    </xf>
    <xf numFmtId="185" fontId="0" fillId="0" borderId="10" xfId="0" applyNumberForma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65" fontId="14" fillId="0" borderId="27" xfId="0" applyNumberFormat="1" applyFont="1" applyBorder="1" applyAlignment="1">
      <alignment horizontal="right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191" fontId="0" fillId="0" borderId="23" xfId="0" applyNumberFormat="1" applyBorder="1" applyAlignment="1">
      <alignment/>
    </xf>
    <xf numFmtId="191" fontId="0" fillId="0" borderId="52" xfId="0" applyNumberFormat="1" applyBorder="1" applyAlignment="1">
      <alignment/>
    </xf>
    <xf numFmtId="191" fontId="0" fillId="0" borderId="51" xfId="0" applyNumberFormat="1" applyBorder="1" applyAlignment="1">
      <alignment/>
    </xf>
    <xf numFmtId="191" fontId="0" fillId="0" borderId="0" xfId="0" applyNumberFormat="1" applyAlignment="1">
      <alignment/>
    </xf>
    <xf numFmtId="165" fontId="0" fillId="0" borderId="36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168" fontId="0" fillId="0" borderId="1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168" fontId="0" fillId="0" borderId="11" xfId="0" applyNumberFormat="1" applyFont="1" applyBorder="1" applyAlignment="1">
      <alignment horizontal="center" shrinkToFit="1"/>
    </xf>
    <xf numFmtId="168" fontId="0" fillId="0" borderId="15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1" fontId="0" fillId="0" borderId="2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68" fontId="44" fillId="0" borderId="12" xfId="0" applyNumberFormat="1" applyFont="1" applyBorder="1" applyAlignment="1">
      <alignment horizontal="center" vertical="center"/>
    </xf>
    <xf numFmtId="168" fontId="44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shrinkToFit="1"/>
    </xf>
    <xf numFmtId="0" fontId="11" fillId="0" borderId="15" xfId="0" applyFont="1" applyBorder="1" applyAlignment="1">
      <alignment horizontal="left" shrinkToFit="1"/>
    </xf>
    <xf numFmtId="0" fontId="2" fillId="0" borderId="7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91" fontId="13" fillId="0" borderId="74" xfId="0" applyNumberFormat="1" applyFont="1" applyBorder="1" applyAlignment="1">
      <alignment horizontal="center" vertical="center"/>
    </xf>
    <xf numFmtId="191" fontId="13" fillId="0" borderId="55" xfId="0" applyNumberFormat="1" applyFont="1" applyBorder="1" applyAlignment="1">
      <alignment horizontal="center" vertical="center"/>
    </xf>
    <xf numFmtId="191" fontId="13" fillId="0" borderId="56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75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168" fontId="40" fillId="0" borderId="12" xfId="0" applyNumberFormat="1" applyFont="1" applyBorder="1" applyAlignment="1">
      <alignment horizontal="left" vertical="center"/>
    </xf>
    <xf numFmtId="168" fontId="40" fillId="0" borderId="11" xfId="0" applyNumberFormat="1" applyFont="1" applyBorder="1" applyAlignment="1">
      <alignment horizontal="left" vertical="center"/>
    </xf>
    <xf numFmtId="168" fontId="40" fillId="0" borderId="15" xfId="0" applyNumberFormat="1" applyFont="1" applyBorder="1" applyAlignment="1">
      <alignment horizontal="left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9" fontId="0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175" fontId="0" fillId="0" borderId="2" xfId="0" applyNumberForma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11</xdr:row>
      <xdr:rowOff>28575</xdr:rowOff>
    </xdr:from>
    <xdr:to>
      <xdr:col>13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8639175" y="2019300"/>
          <a:ext cx="44005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5.28125" style="0" customWidth="1"/>
    <col min="4" max="4" width="13.8515625" style="0" customWidth="1"/>
    <col min="5" max="5" width="14.421875" style="0" customWidth="1"/>
    <col min="6" max="6" width="14.28125" style="0" customWidth="1"/>
    <col min="7" max="8" width="16.140625" style="0" customWidth="1"/>
    <col min="9" max="9" width="17.421875" style="0" customWidth="1"/>
    <col min="10" max="10" width="14.57421875" style="0" customWidth="1"/>
    <col min="11" max="11" width="12.00390625" style="0" customWidth="1"/>
    <col min="13" max="13" width="12.8515625" style="0" customWidth="1"/>
    <col min="14" max="14" width="11.140625" style="0" customWidth="1"/>
    <col min="15" max="16" width="11.8515625" style="0" customWidth="1"/>
    <col min="17" max="17" width="15.140625" style="0" customWidth="1"/>
    <col min="18" max="18" width="13.140625" style="0" customWidth="1"/>
    <col min="19" max="26" width="11.8515625" style="0" customWidth="1"/>
    <col min="27" max="27" width="12.00390625" style="0" customWidth="1"/>
    <col min="28" max="33" width="11.8515625" style="0" customWidth="1"/>
    <col min="34" max="35" width="12.7109375" style="0" customWidth="1"/>
    <col min="36" max="62" width="11.8515625" style="0" customWidth="1"/>
  </cols>
  <sheetData>
    <row r="1" spans="1:62" ht="12.75">
      <c r="A1" s="41" t="s">
        <v>20</v>
      </c>
      <c r="B1" s="22"/>
      <c r="C1" s="23"/>
      <c r="D1" s="23"/>
      <c r="E1" s="23"/>
      <c r="F1" s="42"/>
      <c r="G1" s="24"/>
      <c r="H1" s="24"/>
      <c r="I1" s="43"/>
      <c r="J1" s="44"/>
      <c r="K1" s="45"/>
      <c r="L1" s="45"/>
      <c r="M1" s="45"/>
      <c r="N1" s="45"/>
      <c r="O1" s="45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62" ht="15.75">
      <c r="A2" s="47" t="s">
        <v>49</v>
      </c>
      <c r="B2" s="48"/>
      <c r="C2" s="29"/>
      <c r="D2" s="29"/>
      <c r="E2" s="106"/>
      <c r="F2" s="49"/>
      <c r="G2" s="652"/>
      <c r="H2" s="49"/>
      <c r="I2" s="51" t="s">
        <v>21</v>
      </c>
      <c r="J2" s="51" t="s">
        <v>22</v>
      </c>
      <c r="L2" s="46"/>
      <c r="M2" s="777" t="s">
        <v>123</v>
      </c>
      <c r="N2" s="778"/>
      <c r="O2" s="714">
        <f>(O4*C8*B30^2)/(2*C5)</f>
        <v>109737.31602436352</v>
      </c>
      <c r="P2" s="715"/>
      <c r="Q2" s="39" t="s">
        <v>33</v>
      </c>
      <c r="R2" s="716">
        <v>109737.31568525</v>
      </c>
      <c r="S2" s="716"/>
      <c r="T2" s="44"/>
      <c r="U2" s="44"/>
      <c r="V2" s="44"/>
      <c r="W2" s="44"/>
      <c r="X2" s="44"/>
      <c r="Y2" s="44"/>
      <c r="Z2" s="107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</row>
    <row r="3" spans="1:62" ht="15">
      <c r="A3" s="52" t="s">
        <v>50</v>
      </c>
      <c r="B3" s="26"/>
      <c r="C3" s="27"/>
      <c r="D3" s="27"/>
      <c r="E3" s="27"/>
      <c r="F3" s="32"/>
      <c r="G3" s="29"/>
      <c r="H3" s="29"/>
      <c r="I3" s="298" t="s">
        <v>189</v>
      </c>
      <c r="J3" s="668">
        <f>-I15*624150636300*8065.541</f>
        <v>109675.89085754837</v>
      </c>
      <c r="L3" s="1"/>
      <c r="M3" s="54" t="s">
        <v>34</v>
      </c>
      <c r="N3" s="236" t="s">
        <v>70</v>
      </c>
      <c r="O3" s="712">
        <v>1.672621E-24</v>
      </c>
      <c r="P3" s="713"/>
      <c r="Q3" s="25"/>
      <c r="R3" s="25"/>
      <c r="S3" s="25"/>
      <c r="T3" s="44"/>
      <c r="U3" s="44"/>
      <c r="V3" s="44"/>
      <c r="W3" s="44"/>
      <c r="X3" s="44"/>
      <c r="Y3" s="44"/>
      <c r="Z3" s="107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2" ht="14.25">
      <c r="A4" s="706" t="s">
        <v>28</v>
      </c>
      <c r="B4" s="693"/>
      <c r="C4" s="693"/>
      <c r="D4" s="693"/>
      <c r="E4" s="693"/>
      <c r="F4" s="693"/>
      <c r="G4" s="84"/>
      <c r="I4" s="3" t="s">
        <v>188</v>
      </c>
      <c r="J4" s="664">
        <f>J3/8065.541</f>
        <v>13.598082367636389</v>
      </c>
      <c r="K4" s="9"/>
      <c r="L4" s="44"/>
      <c r="M4" s="108" t="s">
        <v>35</v>
      </c>
      <c r="N4" s="236" t="s">
        <v>71</v>
      </c>
      <c r="O4" s="724">
        <v>9.1093826E-28</v>
      </c>
      <c r="P4" s="725"/>
      <c r="Q4" s="25"/>
      <c r="R4" s="764" t="s">
        <v>52</v>
      </c>
      <c r="S4" s="765"/>
      <c r="T4" s="766"/>
      <c r="U4" s="46"/>
      <c r="V4" s="46"/>
      <c r="W4" s="44"/>
      <c r="X4" s="44"/>
      <c r="Y4" s="44"/>
      <c r="Z4" s="107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</row>
    <row r="5" spans="1:62" ht="14.25">
      <c r="A5" s="703" t="s">
        <v>23</v>
      </c>
      <c r="B5" s="238" t="s">
        <v>6</v>
      </c>
      <c r="C5" s="12">
        <v>6.6260693E-27</v>
      </c>
      <c r="D5" s="55" t="s">
        <v>24</v>
      </c>
      <c r="E5" s="109"/>
      <c r="F5" s="46"/>
      <c r="G5" s="46"/>
      <c r="H5" s="46"/>
      <c r="I5" s="775" t="s">
        <v>183</v>
      </c>
      <c r="J5" s="776"/>
      <c r="K5" s="667"/>
      <c r="L5" s="59"/>
      <c r="M5" s="100" t="s">
        <v>51</v>
      </c>
      <c r="N5" s="352" t="s">
        <v>92</v>
      </c>
      <c r="O5" s="773">
        <v>8.75E-14</v>
      </c>
      <c r="P5" s="773"/>
      <c r="Q5" s="110"/>
      <c r="R5" s="740" t="s">
        <v>54</v>
      </c>
      <c r="S5" s="741"/>
      <c r="T5" s="742"/>
      <c r="V5" s="44"/>
      <c r="W5" s="44"/>
      <c r="X5" s="44"/>
      <c r="Y5" s="44"/>
      <c r="Z5" s="107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</row>
    <row r="6" spans="1:62" ht="15.75">
      <c r="A6" s="704"/>
      <c r="B6" s="239" t="s">
        <v>121</v>
      </c>
      <c r="C6" s="13">
        <f>H6/C8</f>
        <v>109677.58371963068</v>
      </c>
      <c r="D6" s="60" t="s">
        <v>122</v>
      </c>
      <c r="E6" s="111"/>
      <c r="F6" s="774" t="s">
        <v>120</v>
      </c>
      <c r="G6" s="774"/>
      <c r="H6" s="607">
        <f>$C8*$O2*$O3/($O3+$O4)</f>
        <v>3288051241080886.5</v>
      </c>
      <c r="I6" s="665"/>
      <c r="K6" s="1"/>
      <c r="L6" s="666"/>
      <c r="M6" s="118" t="s">
        <v>68</v>
      </c>
      <c r="N6" s="237" t="s">
        <v>69</v>
      </c>
      <c r="O6" s="768">
        <f>O3*O4/(O3+O4)</f>
        <v>9.104424173485626E-28</v>
      </c>
      <c r="P6" s="769"/>
      <c r="Q6" s="46"/>
      <c r="R6" s="355"/>
      <c r="S6" s="355"/>
      <c r="T6" s="46"/>
      <c r="V6" s="44"/>
      <c r="W6" s="44"/>
      <c r="X6" s="44"/>
      <c r="Y6" s="44"/>
      <c r="Z6" s="107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</row>
    <row r="7" spans="1:62" ht="13.5">
      <c r="A7" s="704"/>
      <c r="B7" s="239" t="s">
        <v>25</v>
      </c>
      <c r="C7" s="16">
        <v>1</v>
      </c>
      <c r="D7" s="61" t="s">
        <v>26</v>
      </c>
      <c r="E7" s="113"/>
      <c r="F7" s="114"/>
      <c r="G7" s="48"/>
      <c r="H7" s="48"/>
      <c r="I7" s="59"/>
      <c r="J7" s="59"/>
      <c r="K7" s="59"/>
      <c r="L7" s="59"/>
      <c r="M7" s="46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</row>
    <row r="8" spans="1:62" ht="12.75" customHeight="1">
      <c r="A8" s="704"/>
      <c r="B8" s="239" t="s">
        <v>27</v>
      </c>
      <c r="C8" s="17">
        <v>29979245800</v>
      </c>
      <c r="D8" s="61" t="s">
        <v>53</v>
      </c>
      <c r="E8" s="115"/>
      <c r="F8" s="116"/>
      <c r="G8" s="48"/>
      <c r="K8" s="46"/>
      <c r="L8" s="46"/>
      <c r="M8" s="46"/>
      <c r="Q8" s="46" t="s">
        <v>98</v>
      </c>
      <c r="R8" s="46" t="s">
        <v>99</v>
      </c>
      <c r="S8" s="46" t="s">
        <v>100</v>
      </c>
      <c r="T8" s="46" t="s">
        <v>101</v>
      </c>
      <c r="U8" s="48" t="s">
        <v>102</v>
      </c>
      <c r="V8" s="1" t="s">
        <v>103</v>
      </c>
      <c r="W8" s="391" t="s">
        <v>104</v>
      </c>
      <c r="X8" t="s">
        <v>105</v>
      </c>
      <c r="Y8" t="s">
        <v>106</v>
      </c>
      <c r="Z8" s="44" t="s">
        <v>107</v>
      </c>
      <c r="AA8" s="44" t="s">
        <v>108</v>
      </c>
      <c r="AB8" s="44" t="s">
        <v>109</v>
      </c>
      <c r="AC8" s="392" t="s">
        <v>110</v>
      </c>
      <c r="AD8" s="392" t="s">
        <v>111</v>
      </c>
      <c r="AE8" s="44" t="s">
        <v>112</v>
      </c>
      <c r="AF8" s="44" t="s">
        <v>113</v>
      </c>
      <c r="AG8" s="44" t="s">
        <v>114</v>
      </c>
      <c r="AH8" s="44" t="s">
        <v>115</v>
      </c>
      <c r="AI8" s="44" t="s">
        <v>116</v>
      </c>
      <c r="AJ8" s="44" t="s">
        <v>117</v>
      </c>
      <c r="AK8" s="44" t="s">
        <v>118</v>
      </c>
      <c r="AL8" s="44" t="s">
        <v>119</v>
      </c>
      <c r="AM8" s="44"/>
      <c r="AN8" s="44"/>
      <c r="AO8" s="44"/>
      <c r="AP8" s="44"/>
      <c r="AQ8" s="44"/>
      <c r="AR8" s="44"/>
      <c r="AS8" s="44"/>
      <c r="AT8" s="44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</row>
    <row r="9" spans="1:62" ht="12.75" customHeight="1">
      <c r="A9" s="704"/>
      <c r="B9" s="239" t="s">
        <v>29</v>
      </c>
      <c r="C9" s="18">
        <v>100000000</v>
      </c>
      <c r="D9" s="61" t="s">
        <v>30</v>
      </c>
      <c r="E9" s="117"/>
      <c r="F9" s="48"/>
      <c r="G9" s="48"/>
      <c r="H9" s="48"/>
      <c r="I9" s="767" t="s">
        <v>55</v>
      </c>
      <c r="J9" s="767"/>
      <c r="K9" s="407">
        <f>(J16-J18)/8065.541*241798840000000/1000000</f>
        <v>1057.7714275199824</v>
      </c>
      <c r="L9" s="118" t="s">
        <v>56</v>
      </c>
      <c r="M9" s="46"/>
      <c r="N9" s="770" t="s">
        <v>95</v>
      </c>
      <c r="O9" s="771"/>
      <c r="P9" s="772"/>
      <c r="Q9" s="366">
        <v>3889</v>
      </c>
      <c r="R9" s="366">
        <v>3970</v>
      </c>
      <c r="S9" s="366">
        <v>4101</v>
      </c>
      <c r="T9" s="366">
        <v>4340</v>
      </c>
      <c r="U9" s="366">
        <v>4861</v>
      </c>
      <c r="V9" s="366">
        <v>6562</v>
      </c>
      <c r="W9" s="366">
        <v>9545</v>
      </c>
      <c r="X9" s="366">
        <v>10049</v>
      </c>
      <c r="Y9" s="366">
        <v>10938</v>
      </c>
      <c r="Z9" s="366">
        <v>12817</v>
      </c>
      <c r="AA9" s="366">
        <v>18751</v>
      </c>
      <c r="AB9" s="366">
        <v>19445</v>
      </c>
      <c r="AC9" s="366">
        <v>21654</v>
      </c>
      <c r="AD9" s="366">
        <v>26251</v>
      </c>
      <c r="AE9" s="366">
        <v>37395</v>
      </c>
      <c r="AF9" s="366">
        <v>40510</v>
      </c>
      <c r="AG9" s="366">
        <v>46525</v>
      </c>
      <c r="AH9" s="366">
        <v>74577</v>
      </c>
      <c r="AI9" s="366">
        <v>75003</v>
      </c>
      <c r="AJ9" s="366">
        <v>123682</v>
      </c>
      <c r="AK9" s="366">
        <v>190568</v>
      </c>
      <c r="AL9" s="400"/>
      <c r="AM9" s="44"/>
      <c r="AN9" s="44"/>
      <c r="AO9" s="44"/>
      <c r="AP9" s="44"/>
      <c r="AQ9" s="44"/>
      <c r="AR9" s="44"/>
      <c r="AS9" s="44"/>
      <c r="AT9" s="44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1:62" ht="13.5">
      <c r="A10" s="705"/>
      <c r="B10" s="240" t="s">
        <v>31</v>
      </c>
      <c r="C10" s="19">
        <f>0.0000000000000000000160217653*C8</f>
        <v>4.803204400786107E-10</v>
      </c>
      <c r="D10" s="63" t="s">
        <v>44</v>
      </c>
      <c r="E10" s="119"/>
      <c r="F10" s="402"/>
      <c r="G10" s="643"/>
      <c r="H10" s="643"/>
      <c r="I10" s="403"/>
      <c r="J10" s="46"/>
      <c r="K10" s="470"/>
      <c r="L10" s="46"/>
      <c r="M10" s="46"/>
      <c r="N10" s="737" t="s">
        <v>57</v>
      </c>
      <c r="O10" s="738"/>
      <c r="P10" s="739"/>
      <c r="Q10" s="404">
        <v>1.0002833738195605</v>
      </c>
      <c r="R10" s="14">
        <v>1.0002829122370658</v>
      </c>
      <c r="S10" s="14">
        <v>1.0002822238116587</v>
      </c>
      <c r="T10" s="14">
        <v>1.0002811430487302</v>
      </c>
      <c r="U10" s="14">
        <v>1.0002793426566505</v>
      </c>
      <c r="V10" s="14">
        <v>1.0002762358405997</v>
      </c>
      <c r="W10" s="14">
        <v>1.0002742991847757</v>
      </c>
      <c r="X10" s="14">
        <v>1.0002741326980036</v>
      </c>
      <c r="Y10" s="405">
        <v>1.0002738915344123</v>
      </c>
      <c r="Z10" s="405">
        <v>1.000273537699278</v>
      </c>
      <c r="AA10" s="405">
        <v>1.00027303660436</v>
      </c>
      <c r="AB10" s="405">
        <v>1.0002730063768805</v>
      </c>
      <c r="AC10" s="405">
        <v>1.0002729270443995</v>
      </c>
      <c r="AD10" s="405">
        <v>1.0002728232178235</v>
      </c>
      <c r="AE10" s="405">
        <v>1.0002727071339257</v>
      </c>
      <c r="AF10" s="405">
        <v>1.0002726918229274</v>
      </c>
      <c r="AG10" s="405">
        <v>1.0002726693814967</v>
      </c>
      <c r="AH10" s="416">
        <v>1.0002726288642982</v>
      </c>
      <c r="AI10" s="416">
        <v>1.000272628349397</v>
      </c>
      <c r="AJ10" s="404">
        <v>1.0002726057440399</v>
      </c>
      <c r="AK10" s="404">
        <v>1.0002726072891703</v>
      </c>
      <c r="AL10" s="401">
        <v>1.00027252629911</v>
      </c>
      <c r="AM10" s="44"/>
      <c r="AN10" s="44"/>
      <c r="AO10" s="44"/>
      <c r="AP10" s="44"/>
      <c r="AQ10" s="44"/>
      <c r="AR10" s="44"/>
      <c r="AS10" s="44"/>
      <c r="AT10" s="44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</row>
    <row r="11" spans="1:27" ht="13.5" thickBot="1">
      <c r="A11" s="59"/>
      <c r="B11" s="59"/>
      <c r="D11" s="350" t="s">
        <v>155</v>
      </c>
      <c r="E11" s="350">
        <f ca="1">NOW()</f>
        <v>40996.49789259259</v>
      </c>
      <c r="F11" s="281"/>
      <c r="G11" s="281"/>
      <c r="H11" s="281"/>
      <c r="I11" s="48"/>
      <c r="J11" s="293"/>
      <c r="AA11" s="688"/>
    </row>
    <row r="12" spans="1:63" ht="16.5" customHeight="1" thickTop="1">
      <c r="A12" s="65" t="s">
        <v>36</v>
      </c>
      <c r="B12" s="76" t="s">
        <v>45</v>
      </c>
      <c r="C12" s="754" t="s">
        <v>195</v>
      </c>
      <c r="D12" s="757" t="s">
        <v>182</v>
      </c>
      <c r="E12" s="758"/>
      <c r="F12" s="759"/>
      <c r="G12" s="749" t="s">
        <v>184</v>
      </c>
      <c r="H12" s="749" t="s">
        <v>185</v>
      </c>
      <c r="I12" s="733" t="s">
        <v>81</v>
      </c>
      <c r="J12" s="734"/>
      <c r="K12" s="743" t="s">
        <v>94</v>
      </c>
      <c r="L12" s="744"/>
      <c r="M12" s="291" t="s">
        <v>83</v>
      </c>
      <c r="N12" s="120">
        <v>1</v>
      </c>
      <c r="O12" s="67">
        <v>2</v>
      </c>
      <c r="P12" s="67">
        <v>2</v>
      </c>
      <c r="Q12" s="68">
        <v>2</v>
      </c>
      <c r="R12" s="67">
        <v>3</v>
      </c>
      <c r="S12" s="67">
        <v>3</v>
      </c>
      <c r="T12" s="67">
        <v>3</v>
      </c>
      <c r="U12" s="67">
        <v>3</v>
      </c>
      <c r="V12" s="68">
        <v>3</v>
      </c>
      <c r="W12" s="67">
        <v>4</v>
      </c>
      <c r="X12" s="67">
        <v>4</v>
      </c>
      <c r="Y12" s="67">
        <v>4</v>
      </c>
      <c r="Z12" s="67">
        <v>4</v>
      </c>
      <c r="AA12" s="67">
        <v>4</v>
      </c>
      <c r="AB12" s="67">
        <v>4</v>
      </c>
      <c r="AC12" s="68">
        <v>4</v>
      </c>
      <c r="AD12" s="67">
        <v>5</v>
      </c>
      <c r="AE12" s="67">
        <v>5</v>
      </c>
      <c r="AF12" s="67">
        <v>5</v>
      </c>
      <c r="AG12" s="67">
        <v>5</v>
      </c>
      <c r="AH12" s="67">
        <v>5</v>
      </c>
      <c r="AI12" s="67">
        <v>5</v>
      </c>
      <c r="AJ12" s="67">
        <v>5</v>
      </c>
      <c r="AK12" s="67">
        <v>5</v>
      </c>
      <c r="AL12" s="68">
        <v>5</v>
      </c>
      <c r="AM12" s="67">
        <v>6</v>
      </c>
      <c r="AN12" s="67">
        <v>6</v>
      </c>
      <c r="AO12" s="67">
        <v>6</v>
      </c>
      <c r="AP12" s="67">
        <v>6</v>
      </c>
      <c r="AQ12" s="67">
        <v>6</v>
      </c>
      <c r="AR12" s="67">
        <v>6</v>
      </c>
      <c r="AS12" s="67">
        <v>6</v>
      </c>
      <c r="AT12" s="67">
        <v>6</v>
      </c>
      <c r="AU12" s="67">
        <v>6</v>
      </c>
      <c r="AV12" s="67">
        <v>6</v>
      </c>
      <c r="AW12" s="68">
        <v>6</v>
      </c>
      <c r="AX12" s="67">
        <v>7</v>
      </c>
      <c r="AY12" s="67">
        <v>7</v>
      </c>
      <c r="AZ12" s="67">
        <v>7</v>
      </c>
      <c r="BA12" s="67">
        <v>7</v>
      </c>
      <c r="BB12" s="67">
        <v>7</v>
      </c>
      <c r="BC12" s="67">
        <v>7</v>
      </c>
      <c r="BD12" s="67">
        <v>7</v>
      </c>
      <c r="BE12" s="67">
        <v>7</v>
      </c>
      <c r="BF12" s="67">
        <v>7</v>
      </c>
      <c r="BG12" s="67">
        <v>7</v>
      </c>
      <c r="BH12" s="67">
        <v>7</v>
      </c>
      <c r="BI12" s="67">
        <v>7</v>
      </c>
      <c r="BJ12" s="67">
        <v>7</v>
      </c>
      <c r="BK12" s="708" t="s">
        <v>59</v>
      </c>
    </row>
    <row r="13" spans="1:63" ht="17.25" customHeight="1">
      <c r="A13" s="69" t="s">
        <v>37</v>
      </c>
      <c r="B13" s="87" t="s">
        <v>37</v>
      </c>
      <c r="C13" s="755"/>
      <c r="D13" s="760" t="s">
        <v>80</v>
      </c>
      <c r="E13" s="762" t="s">
        <v>79</v>
      </c>
      <c r="F13" s="747" t="s">
        <v>60</v>
      </c>
      <c r="G13" s="750"/>
      <c r="H13" s="750"/>
      <c r="I13" s="735"/>
      <c r="J13" s="736"/>
      <c r="K13" s="745"/>
      <c r="L13" s="746"/>
      <c r="M13" s="292" t="s">
        <v>82</v>
      </c>
      <c r="N13" s="121">
        <v>0.5</v>
      </c>
      <c r="O13" s="31">
        <v>0.5</v>
      </c>
      <c r="P13" s="70">
        <v>1.5</v>
      </c>
      <c r="Q13" s="37">
        <v>1.5</v>
      </c>
      <c r="R13" s="31">
        <v>0.5</v>
      </c>
      <c r="S13" s="33">
        <v>1.5</v>
      </c>
      <c r="T13" s="31">
        <v>1.5</v>
      </c>
      <c r="U13" s="30">
        <v>2.5</v>
      </c>
      <c r="V13" s="35">
        <v>2.5</v>
      </c>
      <c r="W13" s="31">
        <v>0.5</v>
      </c>
      <c r="X13" s="33">
        <v>1.5</v>
      </c>
      <c r="Y13" s="31">
        <v>1.5</v>
      </c>
      <c r="Z13" s="33">
        <v>2.5</v>
      </c>
      <c r="AA13" s="33">
        <v>2.5</v>
      </c>
      <c r="AB13" s="30">
        <v>3.5</v>
      </c>
      <c r="AC13" s="122">
        <v>3.5</v>
      </c>
      <c r="AD13" s="31">
        <v>0.5</v>
      </c>
      <c r="AE13" s="33">
        <v>1.5</v>
      </c>
      <c r="AF13" s="31">
        <v>1.5</v>
      </c>
      <c r="AG13" s="33">
        <v>2.5</v>
      </c>
      <c r="AH13" s="31">
        <v>2.5</v>
      </c>
      <c r="AI13" s="33">
        <v>3.5</v>
      </c>
      <c r="AJ13" s="31">
        <v>3.5</v>
      </c>
      <c r="AK13" s="33">
        <v>4.5</v>
      </c>
      <c r="AL13" s="35">
        <v>4.5</v>
      </c>
      <c r="AM13" s="31">
        <v>0.5</v>
      </c>
      <c r="AN13" s="30">
        <v>1.5</v>
      </c>
      <c r="AO13" s="31">
        <v>1.5</v>
      </c>
      <c r="AP13" s="30">
        <v>2.5</v>
      </c>
      <c r="AQ13" s="31">
        <v>2.5</v>
      </c>
      <c r="AR13" s="30">
        <v>3.5</v>
      </c>
      <c r="AS13" s="31">
        <v>3.5</v>
      </c>
      <c r="AT13" s="30">
        <v>4.5</v>
      </c>
      <c r="AU13" s="31">
        <v>4.5</v>
      </c>
      <c r="AV13" s="33">
        <v>5.5</v>
      </c>
      <c r="AW13" s="35">
        <v>5.5</v>
      </c>
      <c r="AX13" s="31">
        <v>0.5</v>
      </c>
      <c r="AY13" s="33">
        <v>1.5</v>
      </c>
      <c r="AZ13" s="31">
        <v>1.5</v>
      </c>
      <c r="BA13" s="33">
        <v>2.5</v>
      </c>
      <c r="BB13" s="31">
        <v>2.5</v>
      </c>
      <c r="BC13" s="33">
        <v>3.5</v>
      </c>
      <c r="BD13" s="31">
        <v>3.5</v>
      </c>
      <c r="BE13" s="33">
        <v>4.5</v>
      </c>
      <c r="BF13" s="31">
        <v>4.5</v>
      </c>
      <c r="BG13" s="33">
        <v>5.5</v>
      </c>
      <c r="BH13" s="31">
        <v>5.5</v>
      </c>
      <c r="BI13" s="30">
        <v>6.5</v>
      </c>
      <c r="BJ13" s="70">
        <v>6.5</v>
      </c>
      <c r="BK13" s="709"/>
    </row>
    <row r="14" spans="1:63" ht="18" customHeight="1">
      <c r="A14" s="71" t="s">
        <v>3</v>
      </c>
      <c r="B14" s="97" t="s">
        <v>38</v>
      </c>
      <c r="C14" s="756"/>
      <c r="D14" s="761"/>
      <c r="E14" s="763"/>
      <c r="F14" s="748"/>
      <c r="G14" s="751"/>
      <c r="H14" s="751"/>
      <c r="I14" s="283" t="s">
        <v>1</v>
      </c>
      <c r="J14" s="5" t="s">
        <v>2</v>
      </c>
      <c r="K14" s="289" t="s">
        <v>3</v>
      </c>
      <c r="L14" s="290" t="s">
        <v>82</v>
      </c>
      <c r="M14" s="124"/>
      <c r="N14" s="125" t="s">
        <v>7</v>
      </c>
      <c r="O14" s="126" t="s">
        <v>7</v>
      </c>
      <c r="P14" s="127" t="s">
        <v>8</v>
      </c>
      <c r="Q14" s="128" t="s">
        <v>9</v>
      </c>
      <c r="R14" s="126" t="s">
        <v>7</v>
      </c>
      <c r="S14" s="127" t="s">
        <v>8</v>
      </c>
      <c r="T14" s="126" t="s">
        <v>9</v>
      </c>
      <c r="U14" s="127" t="s">
        <v>10</v>
      </c>
      <c r="V14" s="129" t="s">
        <v>11</v>
      </c>
      <c r="W14" s="126" t="s">
        <v>7</v>
      </c>
      <c r="X14" s="127" t="s">
        <v>8</v>
      </c>
      <c r="Y14" s="126" t="s">
        <v>9</v>
      </c>
      <c r="Z14" s="127" t="s">
        <v>10</v>
      </c>
      <c r="AA14" s="130" t="s">
        <v>11</v>
      </c>
      <c r="AB14" s="130" t="s">
        <v>12</v>
      </c>
      <c r="AC14" s="125" t="s">
        <v>13</v>
      </c>
      <c r="AD14" s="126" t="s">
        <v>7</v>
      </c>
      <c r="AE14" s="127" t="s">
        <v>8</v>
      </c>
      <c r="AF14" s="126" t="s">
        <v>9</v>
      </c>
      <c r="AG14" s="127" t="s">
        <v>10</v>
      </c>
      <c r="AH14" s="130" t="s">
        <v>11</v>
      </c>
      <c r="AI14" s="130" t="s">
        <v>12</v>
      </c>
      <c r="AJ14" s="127" t="s">
        <v>13</v>
      </c>
      <c r="AK14" s="127" t="s">
        <v>14</v>
      </c>
      <c r="AL14" s="129" t="s">
        <v>15</v>
      </c>
      <c r="AM14" s="126" t="s">
        <v>7</v>
      </c>
      <c r="AN14" s="127" t="s">
        <v>8</v>
      </c>
      <c r="AO14" s="126" t="s">
        <v>9</v>
      </c>
      <c r="AP14" s="127" t="s">
        <v>10</v>
      </c>
      <c r="AQ14" s="130" t="s">
        <v>11</v>
      </c>
      <c r="AR14" s="130" t="s">
        <v>12</v>
      </c>
      <c r="AS14" s="127" t="s">
        <v>13</v>
      </c>
      <c r="AT14" s="127" t="s">
        <v>14</v>
      </c>
      <c r="AU14" s="130" t="s">
        <v>15</v>
      </c>
      <c r="AV14" s="127" t="s">
        <v>16</v>
      </c>
      <c r="AW14" s="129" t="s">
        <v>17</v>
      </c>
      <c r="AX14" s="126" t="s">
        <v>7</v>
      </c>
      <c r="AY14" s="127" t="s">
        <v>8</v>
      </c>
      <c r="AZ14" s="126" t="s">
        <v>9</v>
      </c>
      <c r="BA14" s="127" t="s">
        <v>10</v>
      </c>
      <c r="BB14" s="130" t="s">
        <v>11</v>
      </c>
      <c r="BC14" s="130" t="s">
        <v>12</v>
      </c>
      <c r="BD14" s="127" t="s">
        <v>13</v>
      </c>
      <c r="BE14" s="127" t="s">
        <v>14</v>
      </c>
      <c r="BF14" s="130" t="s">
        <v>15</v>
      </c>
      <c r="BG14" s="127" t="s">
        <v>16</v>
      </c>
      <c r="BH14" s="130" t="s">
        <v>17</v>
      </c>
      <c r="BI14" s="131" t="s">
        <v>18</v>
      </c>
      <c r="BJ14" s="132" t="s">
        <v>19</v>
      </c>
      <c r="BK14" s="710"/>
    </row>
    <row r="15" spans="1:63" ht="12.75">
      <c r="A15" s="73">
        <v>1</v>
      </c>
      <c r="B15" s="418">
        <v>0.5</v>
      </c>
      <c r="C15" s="677"/>
      <c r="D15" s="657">
        <v>6.17045E-11</v>
      </c>
      <c r="E15" s="487">
        <f>(((3.1415926535*(5/3)^(1/2)*O4*D15*C8)/C5)^2*A15)/(B15+A27)^3</f>
        <v>1.0638723326183468</v>
      </c>
      <c r="F15" s="488">
        <f>(((C5*C8*O4)/(8^(1/2)*3.1415926535*C10^2*C7*O3))^2)*(A15^3/(B15+A27))</f>
        <v>0.0027849803998790104</v>
      </c>
      <c r="G15" s="644">
        <f>1/(1+(9*$C$5^2*$A$27^2)/(20*3.142^2*$C$8^2*$O$4^2*D15^2))^(1/2)</f>
        <v>0.9220615642264668</v>
      </c>
      <c r="H15" s="488">
        <f>1/(1+(9*$C$5^2*$A$27^2)/(20*3.142^2*$C$8^2*$O$4^2*D15^2))^(1/2)</f>
        <v>0.9220615642264668</v>
      </c>
      <c r="I15" s="486">
        <f>-($C$5*$H$6*$C$7^2/A15^2)*(1+($B$30^2*$C$7^2/A15^2)*(A15/(B15)-(($O$4/$O$6)*(1-(B30^2*C7^2/2*A15^2)*(2*A15^2/B15^2-1)-$A$48*$O$4/$O$3)*A15*A27/(B15+A27)^2)*G15+2*$O$4^2/($O$3*$O$6)*$A$48*$B$48*(A15*A27*$A$44*H15/(B15*(B15+A27)^2))-0.75-E15-F15))</f>
        <v>-2.178653930122796E-11</v>
      </c>
      <c r="J15" s="489">
        <f>(I15-$I$15)*624150636300*8065.541</f>
        <v>0</v>
      </c>
      <c r="K15" s="74">
        <v>1</v>
      </c>
      <c r="L15" s="75">
        <v>0.5</v>
      </c>
      <c r="M15" s="75" t="s">
        <v>7</v>
      </c>
      <c r="N15" s="682" t="str">
        <f aca="true" t="shared" si="0" ref="N15:N46">IF(AND($BK15-M$79&lt;&gt;2,$BK15-M$79&lt;&gt;-2,OR($L15-N$13=1,$L15-$N$13=-1)),IF($K15&lt;&gt;$N$12,-($C$5*$C$8/($I$15-$I15))*100000000,"N.P."),"N.P.")</f>
        <v>N.P.</v>
      </c>
      <c r="O15" s="134"/>
      <c r="P15" s="77"/>
      <c r="Q15" s="135"/>
      <c r="R15" s="57"/>
      <c r="S15" s="77"/>
      <c r="T15" s="77"/>
      <c r="U15" s="77"/>
      <c r="V15" s="136"/>
      <c r="W15" s="57"/>
      <c r="X15" s="77"/>
      <c r="Y15" s="77"/>
      <c r="Z15" s="77"/>
      <c r="AA15" s="77"/>
      <c r="AB15" s="77"/>
      <c r="AC15" s="136"/>
      <c r="AD15" s="56"/>
      <c r="AE15" s="56"/>
      <c r="AF15" s="56"/>
      <c r="AG15" s="56"/>
      <c r="AH15" s="56"/>
      <c r="AI15" s="56"/>
      <c r="AJ15" s="56"/>
      <c r="AK15" s="56"/>
      <c r="AL15" s="78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78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137">
        <v>1</v>
      </c>
    </row>
    <row r="16" spans="1:63" ht="12.75">
      <c r="A16" s="73">
        <v>2</v>
      </c>
      <c r="B16" s="419">
        <v>1.5</v>
      </c>
      <c r="C16" s="699">
        <f>J16-J18</f>
        <v>0.03528345635277219</v>
      </c>
      <c r="D16" s="681">
        <v>1.1760689E-10</v>
      </c>
      <c r="E16" s="138">
        <f>(((3.1415926535*(5/3)^(1/2)*O4*D16*C8)/C5)^2*A16)/(B15+A27)^3</f>
        <v>7.729499377390087</v>
      </c>
      <c r="F16" s="379">
        <f>(((C5*C8*O4)/(8^(1/2)*3.1415926535*C10^2*C7*O3))^2)*(A16^3/(B15+A27))</f>
        <v>0.022279843199032083</v>
      </c>
      <c r="G16" s="648">
        <f>1/(1+(9*$C$5^2*$A$27^2)/(20*3.142^2*$C$8^2*$O$4^2*D16^2))^(1/2)</f>
        <v>0.9765965635064313</v>
      </c>
      <c r="H16" s="649">
        <f>1/(1+(9*$C$5^2*$A$27^2)/(20*3.142^2*$C$8^2*$O$4^2*D16^2))^(1/2)</f>
        <v>0.9765965635064313</v>
      </c>
      <c r="I16" s="486">
        <f>-($C$5*$H$6*$C$7^2/A16^2)*(1+($B$30^2*$C$7^2/A16^2)*(A16/(B15)-((O4/O6)*(1-(B30^2*C7^2/2*A16^2)*(2*A16^2/B16^2-1)-A48*O4/O3)*A16*A27)*G16/((L16+A27)*L16)+(2*O4^2/(O3*O6))*A48*B48*(A16*A27*A44*H16/(B16*(L16+A27)^2))-0.75-E16-F16))</f>
        <v>-5.446246206392318E-12</v>
      </c>
      <c r="J16" s="489">
        <f aca="true" t="shared" si="1" ref="J16:J25">((I16-$I$15)*624150636300)*8065.541</f>
        <v>82258.87449451572</v>
      </c>
      <c r="K16" s="79">
        <v>2</v>
      </c>
      <c r="L16" s="76">
        <v>0.5</v>
      </c>
      <c r="M16" s="76" t="s">
        <v>7</v>
      </c>
      <c r="N16" s="683" t="str">
        <f t="shared" si="0"/>
        <v>N.P.</v>
      </c>
      <c r="O16" s="140" t="str">
        <f>IF(AND($BK16-N$79&lt;&gt;2,$BK16-N$79&lt;&gt;-2,OR(L16-O$13=1,$L16-O$13=-1)),IF($K16&lt;&gt;O$12,-($C$5*$C$8/($I$16-$I16))*100000000/$Q$10,"N.P."),"N.P.")</f>
        <v>N.P.</v>
      </c>
      <c r="P16" s="141" t="str">
        <f>IF(AND($BK16-O$79&lt;&gt;2,$BK16-O$79&lt;&gt;-2,OR($L16-P$13=1,$L16-P$13=-1)),IF(K16&lt;&gt;P$12,-($C$5*$C$8/($I$17-$I16))*100000000/$Q$10,"N.P."),"N.P.")</f>
        <v>N.P.</v>
      </c>
      <c r="Q16" s="142" t="str">
        <f>IF(AND($BK16-P$79&lt;&gt;2,$BK16-P$79&lt;&gt;-2,OR($L16-Q$13=1,$L16-Q$13=-1)),IF($K16&lt;&gt;Q$12,-($C$5*$C$8/($I$18-I16))*100000000/$Q$10,"N.P."),"N.P.")</f>
        <v>N.P.</v>
      </c>
      <c r="R16" s="62"/>
      <c r="S16" s="80"/>
      <c r="T16" s="80"/>
      <c r="U16" s="80"/>
      <c r="V16" s="143"/>
      <c r="W16" s="62"/>
      <c r="X16" s="80"/>
      <c r="Y16" s="80"/>
      <c r="Z16" s="80"/>
      <c r="AA16" s="80"/>
      <c r="AB16" s="80"/>
      <c r="AC16" s="143"/>
      <c r="AD16" s="59"/>
      <c r="AE16" s="59"/>
      <c r="AF16" s="59"/>
      <c r="AG16" s="59"/>
      <c r="AH16" s="59"/>
      <c r="AI16" s="59"/>
      <c r="AJ16" s="59"/>
      <c r="AK16" s="59"/>
      <c r="AL16" s="8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81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20">
        <v>1</v>
      </c>
    </row>
    <row r="17" spans="1:63" ht="12.75">
      <c r="A17" s="73">
        <v>3</v>
      </c>
      <c r="B17" s="419">
        <v>2.5</v>
      </c>
      <c r="C17" s="699">
        <f>J17-J16</f>
        <v>0.32984813360963017</v>
      </c>
      <c r="D17" s="669">
        <v>3.293E-10</v>
      </c>
      <c r="E17" s="138">
        <f>(((3.1415926535*(5/3)^(1/2)*O4*D17*C8)/C5)^2*A16)/(B16+A27)^3</f>
        <v>7.574941962287742</v>
      </c>
      <c r="F17" s="379">
        <f>(((C5*C8*O4)/(8^(1/2)*3.1415926535*C10^2*C7*O3))^2)*(A16^3/(B16+A27))</f>
        <v>0.011139921599516042</v>
      </c>
      <c r="G17" s="645">
        <f>(2*3.142*$O$4*$C$8*$D17*K17)/(3*C5*(L17+$A$27)^2)</f>
        <v>1.421445879867697</v>
      </c>
      <c r="H17" s="650">
        <f>(2*3.142*C8*$O$4*D17)/(3*$C$5*$A$27)</f>
        <v>5.685783519470788</v>
      </c>
      <c r="I17" s="284">
        <f>-($C$5*$H$6*$C$7^2/A16^2)*(1+($B$30^2*$C$7^2/A16^2)*(A16/(B16)-((O$4/O$6)*(1-(B30^2*C7^2/2*A16^2)*(2*A16^2/B16^2-1)-A$48*$O$4/$O$3)*A16*A27)*G17/((B16+A27)^2)+2*$O$4^2/($O$3*$O$6)*$A$48*$B$48*(A16*A27*$A$44*H17/(B16*(B16+A27)^2))-0.75-E17-F17))</f>
        <v>-5.4461806837941425E-12</v>
      </c>
      <c r="J17" s="472">
        <f t="shared" si="1"/>
        <v>82259.20434264933</v>
      </c>
      <c r="K17" s="82">
        <v>2</v>
      </c>
      <c r="L17" s="83">
        <v>1.5</v>
      </c>
      <c r="M17" s="83" t="s">
        <v>8</v>
      </c>
      <c r="N17" s="684">
        <f>IF(AND($BK17-M$79&lt;&gt;2,$BK17-M$79&lt;&gt;-2,OR($L17-N$13=1,$L17-$N$13=-1)),IF($K17&lt;&gt;$N$12,-($C$5*$C$8/($I$15-$I17))*100000000,"N.P."),"N.P.")</f>
        <v>1215.6683025340494</v>
      </c>
      <c r="O17" s="144" t="str">
        <f>IF(AND($BK17-N$79&lt;&gt;2,$BK17-N$79&lt;&gt;-2,OR(L17-O$13=1,$L17-O$13=-1)),IF($K17&lt;&gt;O$12,-($C$5*$C$8/($I$16-$I17))*100000000/$Q$10,"N.P."),"N.P.")</f>
        <v>N.P.</v>
      </c>
      <c r="P17" s="145" t="str">
        <f>IF(AND($BK17-O$79&lt;&gt;2,$BK17-O$79&lt;&gt;-2,OR($L17-P$13=1,$L17-P$13=-1)),IF(K17&lt;&gt;P$12,-($C$5*$C$8/($I$17-$I17))*100000000/$Q$10,"N.P."),"N.P.")</f>
        <v>N.P.</v>
      </c>
      <c r="Q17" s="146" t="str">
        <f>IF(AND($BK17-P$79&lt;&gt;2,$BK17-P$79&lt;&gt;-2,OR($L17-Q$13=1,$L17-Q$13=-1)),IF($K17&lt;&gt;Q$12,-($C$5*$C$8/($I$18-I17))*100000000/$Q$10,"N.P."),"N.P.")</f>
        <v>N.P.</v>
      </c>
      <c r="R17" s="73"/>
      <c r="S17" s="80"/>
      <c r="T17" s="80"/>
      <c r="U17" s="80"/>
      <c r="V17" s="143"/>
      <c r="W17" s="62"/>
      <c r="X17" s="80"/>
      <c r="Y17" s="80"/>
      <c r="Z17" s="80"/>
      <c r="AA17" s="80"/>
      <c r="AB17" s="80"/>
      <c r="AC17" s="143"/>
      <c r="AD17" s="59"/>
      <c r="AE17" s="59"/>
      <c r="AF17" s="59"/>
      <c r="AG17" s="59"/>
      <c r="AH17" s="59"/>
      <c r="AI17" s="59"/>
      <c r="AJ17" s="59"/>
      <c r="AK17" s="59"/>
      <c r="AL17" s="8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81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20">
        <v>2</v>
      </c>
    </row>
    <row r="18" spans="1:63" ht="12.75">
      <c r="A18" s="73">
        <v>4</v>
      </c>
      <c r="B18" s="419">
        <v>3.5</v>
      </c>
      <c r="C18" s="700"/>
      <c r="D18" s="658">
        <v>1.2193E-10</v>
      </c>
      <c r="E18" s="147">
        <f>(((3.1415926535*(5/3)^(1/2)*O4*D18*C8)/C5)^2*A16)/(B16+A28)^3</f>
        <v>8.308200770792032</v>
      </c>
      <c r="F18" s="381">
        <f>(((C5*C8*O4)/(8^(1/2)*3.1415926535*C10^2*C7*O3))^2)*(A16^3/(B16+A28))</f>
        <v>0.022279843199032083</v>
      </c>
      <c r="G18" s="646">
        <f>(2*3.142*$O$4*$C$8*$D18*K18)/(3*$C$5*(L18+$A$28)^2)</f>
        <v>2.1052766004526973</v>
      </c>
      <c r="H18" s="651">
        <f>(2*3.142*$C$8*$O$4*D18)/(3*$C$5*$A$28)</f>
        <v>-2.1052766004526973</v>
      </c>
      <c r="I18" s="285">
        <f>-($C$5*$H$6*$C$7^2/A16^2)*(1+($B$30^2*$C$7^2/A16^2)*(A16/(B16)-((O4/O6)*(1-(B30^2*C7^2/2*A16^2)*(2*A16^2/B16^2-1)-A48*O4/O3)*A16*A28)*G18/((B16+A28)*B16)+2*O4^2/(O3*O6)*A48*B48*(A16*A28*A45*H18/(B16*(B16+A28)^2))-0.75-E18-F18))</f>
        <v>-5.446253215265485E-12</v>
      </c>
      <c r="J18" s="481">
        <f t="shared" si="1"/>
        <v>82258.83921105937</v>
      </c>
      <c r="K18" s="86">
        <v>2</v>
      </c>
      <c r="L18" s="87">
        <v>1.5</v>
      </c>
      <c r="M18" s="87" t="s">
        <v>9</v>
      </c>
      <c r="N18" s="685">
        <f t="shared" si="0"/>
        <v>1215.673698658094</v>
      </c>
      <c r="O18" s="148" t="str">
        <f>IF(AND($BK18-N$79&lt;&gt;2,$BK18-N$79&lt;&gt;-2,OR(L18-O$13=1,$L18-O$13=-1)),IF($K18&lt;&gt;O$12,-($C$5*$C$8/($I$16-$I18))*100000000/$Q$10,"N.P."),"N.P.")</f>
        <v>N.P.</v>
      </c>
      <c r="P18" s="149" t="str">
        <f>IF(AND($BK18-O$79&lt;&gt;2,$BK18-O$79&lt;&gt;-2,OR($L18-P$13=1,$L18-P$13=-1)),IF(K18&lt;&gt;P$12,-($C$5*$C$8/($I$17-$I18))*100000000/$Q$10,"N.P."),"N.P.")</f>
        <v>N.P.</v>
      </c>
      <c r="Q18" s="150" t="str">
        <f>IF(AND($BK18-P$79&lt;&gt;2,$BK18-P$79&lt;&gt;-2,OR($L18-Q$13=1,$L18-Q$13=-1)),IF($K18&lt;&gt;Q$12,-($C$5*$C$8/($I$18-I18))*100000000/$Q$10,"N.P."),"N.P.")</f>
        <v>N.P.</v>
      </c>
      <c r="R18" s="151"/>
      <c r="S18" s="83"/>
      <c r="T18" s="83"/>
      <c r="U18" s="80"/>
      <c r="V18" s="143"/>
      <c r="W18" s="62"/>
      <c r="X18" s="80"/>
      <c r="Y18" s="80"/>
      <c r="Z18" s="80"/>
      <c r="AA18" s="80"/>
      <c r="AB18" s="80"/>
      <c r="AC18" s="143"/>
      <c r="AD18" s="59"/>
      <c r="AE18" s="59"/>
      <c r="AF18" s="59"/>
      <c r="AG18" s="59"/>
      <c r="AH18" s="59"/>
      <c r="AI18" s="59"/>
      <c r="AJ18" s="59"/>
      <c r="AK18" s="59"/>
      <c r="AL18" s="81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81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21">
        <v>1</v>
      </c>
    </row>
    <row r="19" spans="1:63" ht="12.75">
      <c r="A19" s="73">
        <v>5</v>
      </c>
      <c r="B19" s="419">
        <v>4.5</v>
      </c>
      <c r="C19" s="699">
        <f>J19-J21</f>
        <v>0.010523918477701955</v>
      </c>
      <c r="D19" s="384">
        <v>1.81875E-10</v>
      </c>
      <c r="E19" s="152">
        <f>(((3.1415926535*(5/3)^(1/2)*O4*D19*C8)/C5)^2*A17)/(B15+A27)^3</f>
        <v>27.72829124322957</v>
      </c>
      <c r="F19" s="383">
        <f>(((C5*C8*O4)/(8^(1/2)*3.1415926535*C10^2*C7*O3))^2)*(A17^3/(B15+A27))</f>
        <v>0.07519447079673328</v>
      </c>
      <c r="G19" s="645">
        <f>(2*3.142*$O$4^2*$C$8*$D19*K19)/(3*$C$5*$O$6*(L19+$A$27)^2)</f>
        <v>4.71302034921572</v>
      </c>
      <c r="H19" s="650">
        <f>(2*3.142*$C$8*$O$4*D19)/(3*$C$5*$A$27)</f>
        <v>3.1403033027748237</v>
      </c>
      <c r="I19" s="284">
        <f>-($C$5*$H$6*$C$7^2/A17^2)*(1+($B$30^2*$C$7^2/A17^2)*(A17/(B15)-(O4/O6)*(1-(B30^2*C7^2/2*A17^2)*(2*A17^2/L19^2-1)-A48*O4/O3)*A17*A27*G19/((B15+A27)*B15)+2*O4^2/(O3*O6)*A48*B48*(A17*A27*A44*H19/(B15*(B15+A27)^2))-0.75-E19-F19))</f>
        <v>-2.4202404888966485E-12</v>
      </c>
      <c r="J19" s="472">
        <f t="shared" si="1"/>
        <v>97492.12784502225</v>
      </c>
      <c r="K19" s="79">
        <v>3</v>
      </c>
      <c r="L19" s="83">
        <v>0.5</v>
      </c>
      <c r="M19" s="83" t="s">
        <v>7</v>
      </c>
      <c r="N19" s="683" t="str">
        <f t="shared" si="0"/>
        <v>N.P.</v>
      </c>
      <c r="O19" s="144" t="str">
        <f>IF(AND($BK19-N$79&lt;&gt;2,$BK19-N$79&lt;&gt;-2,OR(L19-O$13=1,$L19-O$13=-1)),IF($K19&lt;&gt;O$12,-($C$5*$C$8/($I$16-$I19))*100000000/$V$10,"N.P."),"N.P.")</f>
        <v>N.P.</v>
      </c>
      <c r="P19" s="153">
        <f>IF(AND($BK19-O$79&lt;&gt;2,$BK19-O$79&lt;&gt;-2,OR($L19-P$13=1,$L19-P$13=-1)),IF(K19&lt;&gt;P$12,-($C$5*$C$8/($I$17-$I19))*100000000/$V$10,"N.P."),"N.P.")</f>
        <v>6562.909041426656</v>
      </c>
      <c r="Q19" s="154">
        <f>IF(AND($BK19-P$79&lt;&gt;2,$BK19-P$79&lt;&gt;-2,OR($L19-Q$13=1,$L19-Q$13=-1)),IF($K19&lt;&gt;Q$12,-($C$5*$C$8/($I$18-I19))*100000000/$V$10,"N.P."),"N.P.")</f>
        <v>6562.751732951079</v>
      </c>
      <c r="R19" s="155" t="str">
        <f>IF(AND($BK19-Q$79&lt;&gt;2,$BK19-Q$79&lt;&gt;-2,OR($L19-R$13=1,$L19-R$13=-1)),IF($K19&lt;&gt;R$12,-($C$5*$C$8/($I$19-$I19))*100000000/$Q$10,"N.P."),"N.P.")</f>
        <v>N.P.</v>
      </c>
      <c r="S19" s="40" t="str">
        <f>IF(AND($BK19-R$79&lt;&gt;2,$BK19-R$79&lt;&gt;-2,OR($L19-S$13=1,$L19-S$13=-1)),IF($K19&lt;&gt;S$12,-($C$5*$C$8/($I$20-$I19))*100000000/$Q$10,"N.P."),"N.P.")</f>
        <v>N.P.</v>
      </c>
      <c r="T19" s="40" t="str">
        <f>IF(AND($BK19-S$79&lt;&gt;2,$BK19-S$79&lt;&gt;-2,OR($L19-T$13=1,$L19-T$13=-1)),IF($K19&lt;&gt;T$12,-($C$5*$C$8/($I$21-$I19))*100000000/$Q$10,"N.P."),"N.P.")</f>
        <v>N.P.</v>
      </c>
      <c r="U19" s="40" t="str">
        <f>IF(AND($BK19-T$79&lt;&gt;2,$BK19-T$79&lt;&gt;-2,OR($L19-U$13=1,$L19-U$13=-1)),IF($K19&lt;&gt;U$12,-($C$5*$C$8/($I$22-$I19))*100000000/$Q$10,"N.P."),"N.P.")</f>
        <v>N.P.</v>
      </c>
      <c r="V19" s="156" t="str">
        <f>IF(AND($BK19-U$79&lt;&gt;2,$BK19-U$79&lt;&gt;-2,OR($L19-V$13=1,$L19-V$13=-1)),IF($K19&lt;&gt;V$12,-($C$5*$C$8/($I$23-$I19))*100000000/$Q$10,"N.P."),"N.P.")</f>
        <v>N.P.</v>
      </c>
      <c r="W19" s="62"/>
      <c r="X19" s="80"/>
      <c r="Y19" s="80"/>
      <c r="Z19" s="80"/>
      <c r="AA19" s="80"/>
      <c r="AB19" s="80"/>
      <c r="AC19" s="143"/>
      <c r="AD19" s="59"/>
      <c r="AE19" s="59"/>
      <c r="AF19" s="59"/>
      <c r="AG19" s="59"/>
      <c r="AH19" s="59"/>
      <c r="AI19" s="59"/>
      <c r="AJ19" s="59"/>
      <c r="AK19" s="59"/>
      <c r="AL19" s="8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81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20">
        <v>1</v>
      </c>
    </row>
    <row r="20" spans="1:63" ht="12.75">
      <c r="A20" s="73">
        <v>6</v>
      </c>
      <c r="B20" s="419">
        <v>5.5</v>
      </c>
      <c r="C20" s="699">
        <f>J20-J19</f>
        <v>0.09465514756448101</v>
      </c>
      <c r="D20" s="378">
        <v>5.943E-10</v>
      </c>
      <c r="E20" s="157">
        <f>(((3.1415926535*(5/3)^(1/2)*O4*D20*C8)/C5)^2*A17)/(B16+A27)^3</f>
        <v>37.00825158943876</v>
      </c>
      <c r="F20" s="385">
        <f>(((C5*C8*O4)/(8^(1/2)*3.1415926535*C10^2*C7*O3))^2)*(A17^3/(B16+A27))</f>
        <v>0.03759723539836664</v>
      </c>
      <c r="G20" s="645">
        <f>(2*3.142*$O$4^2*$C$8*$D20*K20)/(3*$C$5*$O$6*(L20+$A$27)^2)</f>
        <v>3.8501003347613776</v>
      </c>
      <c r="H20" s="650">
        <f>(2*3.142*$C$8*$O$4*D20)/(3*$C$5*$A$27)</f>
        <v>10.261345720077404</v>
      </c>
      <c r="I20" s="284">
        <f>-($C$5*$H$6*$C$7^2/A17^2)*(1+($B$30^2*$C$7^2/A17^2)*(A17/(B16)-(O4/O6)*(1-(B30^2*C7^2/2*A17^2)*(2*A17^2/L20^2-1)-A48*O4/O3)*A17*A27*G20/((B16+A27)*B16)+2*O4^2/(O3*O6)*A48*B48*(A17*A27*A44*H20/(B16*(B16+A27)^2))-0.75-E20-F20))</f>
        <v>-2.420221686149057E-12</v>
      </c>
      <c r="J20" s="472">
        <f t="shared" si="1"/>
        <v>97492.22250016981</v>
      </c>
      <c r="K20" s="82">
        <v>3</v>
      </c>
      <c r="L20" s="83">
        <v>1.5</v>
      </c>
      <c r="M20" s="83" t="s">
        <v>8</v>
      </c>
      <c r="N20" s="684">
        <f t="shared" si="0"/>
        <v>1025.7218960297662</v>
      </c>
      <c r="O20" s="158">
        <f>IF(AND($BK20-N$79&lt;&gt;2,$BK20-N$79&lt;&gt;-2,OR(L20-O$13=1,$L20-O$13=-1)),IF($K20&lt;&gt;O$12,-($C$5*$C$8/($I$16-$I20))*100000000/$V$10,"N.P."),"N.P.")</f>
        <v>6562.726154747964</v>
      </c>
      <c r="P20" s="145" t="str">
        <f>IF(AND($BK20-O$79&lt;&gt;2,$BK20-O$79&lt;&gt;-2,OR($L20-P$13=1,$L20-P$13=-1)),IF(K20&lt;&gt;P$12,-($C$5*$C$8/($I$17-$I20))*100000000/$V$10,"N.P."),"N.P.")</f>
        <v>N.P.</v>
      </c>
      <c r="Q20" s="146" t="str">
        <f>IF(AND($BK20-P$79&lt;&gt;2,$BK20-P$79&lt;&gt;-2,OR($L20-Q$13=1,$L20-Q$13=-1)),IF($K20&lt;&gt;Q$12,-($C$5*$C$8/($I$18-I20))*100000000/$V$10,"N.P."),"N.P.")</f>
        <v>N.P.</v>
      </c>
      <c r="R20" s="159" t="str">
        <f>IF(AND($BK20-Q$79&lt;&gt;2,$BK20-Q$79&lt;&gt;-2,OR($L20-R$13=1,$L20-R$13=-1)),IF($K20&lt;&gt;R$12,-($C$5*$C$8/($I$19-$I20))*100000000/$Q$10,"N.P."),"N.P.")</f>
        <v>N.P.</v>
      </c>
      <c r="S20" s="85" t="str">
        <f>IF(AND($BK20-R$79&lt;&gt;2,$BK20-R$79&lt;&gt;-2,OR($L20-S$13=1,$L20-S$13=-1)),IF($K20&lt;&gt;S$12,-($C$5*$C$8/($I$20-$I20))*100000000/$Q$10,"N.P."),"N.P.")</f>
        <v>N.P.</v>
      </c>
      <c r="T20" s="85" t="str">
        <f>IF(AND($BK20-S$79&lt;&gt;2,$BK20-S$79&lt;&gt;-2,OR($L20-T$13=1,$L20-T$13=-1)),IF($K20&lt;&gt;T$12,-($C$5*$C$8/($I$21-$I20))*100000000/$Q$10,"N.P."),"N.P.")</f>
        <v>N.P.</v>
      </c>
      <c r="U20" s="85" t="str">
        <f>IF(AND($BK20-T$79&lt;&gt;2,$BK20-T$79&lt;&gt;-2,OR($L20-U$13=1,$L20-U$13=-1)),IF($K20&lt;&gt;U$12,-($C$5*$C$8/($I$22-$I20))*100000000/$Q$10,"N.P."),"N.P.")</f>
        <v>N.P.</v>
      </c>
      <c r="V20" s="160" t="str">
        <f>IF(AND($BK20-U$79&lt;&gt;2,$BK20-U$79&lt;&gt;-2,OR($L20-V$13=1,$L20-V$13=-1)),IF($K20&lt;&gt;V$12,-($C$5*$C$8/($I$23-$I20))*100000000/$Q$10,"N.P."),"N.P.")</f>
        <v>N.P.</v>
      </c>
      <c r="W20" s="62"/>
      <c r="X20" s="80"/>
      <c r="Y20" s="80"/>
      <c r="Z20" s="80"/>
      <c r="AA20" s="80"/>
      <c r="AB20" s="80"/>
      <c r="AC20" s="143"/>
      <c r="AD20" s="59"/>
      <c r="AE20" s="59"/>
      <c r="AF20" s="59"/>
      <c r="AG20" s="59"/>
      <c r="AH20" s="59"/>
      <c r="AI20" s="59"/>
      <c r="AJ20" s="59"/>
      <c r="AK20" s="59"/>
      <c r="AL20" s="81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81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20">
        <v>2</v>
      </c>
    </row>
    <row r="21" spans="1:63" ht="12.75">
      <c r="A21" s="73">
        <v>7</v>
      </c>
      <c r="B21" s="419">
        <v>6.5</v>
      </c>
      <c r="C21" s="699"/>
      <c r="D21" s="378">
        <v>2.272E-10</v>
      </c>
      <c r="E21" s="157">
        <f>(((3.1415926535*(5/3)^(1/2)*O4*D21*C8)/C5)^2*A17)/(B16+A28)^3</f>
        <v>43.27068281042045</v>
      </c>
      <c r="F21" s="385">
        <f>(((C5*C8*O4)/(8^(1/2)*3.1415926535*C10^2*C7*O3))^2)*(A17^3/(B16+A28))</f>
        <v>0.07519447079673328</v>
      </c>
      <c r="G21" s="645">
        <f>(2*3.142*$O$4^2*$C$8*$D21*K21)/(3*$C$5*$O$6*(L21+$A$28)^2)</f>
        <v>5.887550368889685</v>
      </c>
      <c r="H21" s="650">
        <f>(2*3.142*$C$8*$O$4*D21)/(3*$C$5*$A$28)</f>
        <v>-3.9228971018031067</v>
      </c>
      <c r="I21" s="284">
        <f>-($C$5*$H$6*$C$7^2/A17^2)*(1+($B$30^2*$C$7^2/A17^2)*(A17/(B16)-(O4/O6)*(1-(B30^2*C7^2/2*A17^2)*(2*A17^2/L21^2-1)-A48*O4/O3)*A17*A28*G21/((B16+A28)*B16)+2*O4^2/(O3*O6)*A48*B48*(A17*A28*A45*H21/(B16*(B16+A28)^2))-0.75-E21-F21))</f>
        <v>-2.420242579417745E-12</v>
      </c>
      <c r="J21" s="472">
        <f t="shared" si="1"/>
        <v>97492.11732110377</v>
      </c>
      <c r="K21" s="82">
        <v>3</v>
      </c>
      <c r="L21" s="83">
        <v>1.5</v>
      </c>
      <c r="M21" s="83" t="s">
        <v>9</v>
      </c>
      <c r="N21" s="684">
        <f t="shared" si="0"/>
        <v>1025.7230026266277</v>
      </c>
      <c r="O21" s="158">
        <f>IF(AND($BK21-N$79&lt;&gt;2,$BK21-N$79&lt;&gt;-2,OR(L21-O$13=1,$L21-O$13=-1)),IF($K21&lt;&gt;O$12,-($C$5*$C$8/($I$16-$I21))*100000000/$V$10,"N.P."),"N.P.")</f>
        <v>6562.771467582243</v>
      </c>
      <c r="P21" s="145" t="str">
        <f>IF(AND($BK21-O$79&lt;&gt;2,$BK21-O$79&lt;&gt;-2,OR($L21-P$13=1,$L21-P$13=-1)),IF(K21&lt;&gt;P$12,-($C$5*$C$8/($I$17-$I21))*100000000/$V$10,"N.P."),"N.P.")</f>
        <v>N.P.</v>
      </c>
      <c r="Q21" s="146" t="str">
        <f>IF(AND($BK21-P$79&lt;&gt;2,$BK21-P$79&lt;&gt;-2,OR($L21-Q$13=1,$L21-Q$13=-1)),IF($K21&lt;&gt;Q$12,-($C$5*$C$8/($I$18-I21))*100000000/$V$10,"N.P."),"N.P.")</f>
        <v>N.P.</v>
      </c>
      <c r="R21" s="159" t="str">
        <f>IF(AND($BK21-Q$79&lt;&gt;2,$BK21-Q$79&lt;&gt;-2,OR($L21-R$13=1,$L21-R$13=-1)),IF($K21&lt;&gt;R$12,-($C$5*$C$8/($I$19-$I21))*100000000/$Q$10,"N.P."),"N.P.")</f>
        <v>N.P.</v>
      </c>
      <c r="S21" s="85" t="str">
        <f>IF(AND($BK21-R$79&lt;&gt;2,$BK21-R$79&lt;&gt;-2,OR($L21-S$13=1,$L21-S$13=-1)),IF($K21&lt;&gt;S$12,-($C$5*$C$8/($I$20-$I21))*100000000/$Q$10,"N.P."),"N.P.")</f>
        <v>N.P.</v>
      </c>
      <c r="T21" s="85" t="str">
        <f>IF(AND($BK21-S$79&lt;&gt;2,$BK21-S$79&lt;&gt;-2,OR($L21-T$13=1,$L21-T$13=-1)),IF($K21&lt;&gt;T$12,-($C$5*$C$8/($I$21-$I21))*100000000/$Q$10,"N.P."),"N.P.")</f>
        <v>N.P.</v>
      </c>
      <c r="U21" s="85" t="str">
        <f>IF(AND($BK21-T$79&lt;&gt;2,$BK21-T$79&lt;&gt;-2,OR($L21-U$13=1,$L21-U$13=-1)),IF($K21&lt;&gt;U$12,-($C$5*$C$8/($I$22-$I21))*100000000/$Q$10,"N.P."),"N.P.")</f>
        <v>N.P.</v>
      </c>
      <c r="V21" s="160" t="str">
        <f>IF(AND($BK21-U$79&lt;&gt;2,$BK21-U$79&lt;&gt;-2,OR($L21-V$13=1,$L21-V$13=-1)),IF($K21&lt;&gt;V$12,-($C$5*$C$8/($I$23-$I21))*100000000/$Q$10,"N.P."),"N.P.")</f>
        <v>N.P.</v>
      </c>
      <c r="W21" s="62"/>
      <c r="X21" s="80"/>
      <c r="Y21" s="80"/>
      <c r="Z21" s="80"/>
      <c r="AA21" s="80"/>
      <c r="AB21" s="80"/>
      <c r="AC21" s="143"/>
      <c r="AD21" s="59"/>
      <c r="AE21" s="59"/>
      <c r="AF21" s="59"/>
      <c r="AG21" s="59"/>
      <c r="AH21" s="59"/>
      <c r="AI21" s="59"/>
      <c r="AJ21" s="59"/>
      <c r="AK21" s="59"/>
      <c r="AL21" s="81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81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20">
        <v>1</v>
      </c>
    </row>
    <row r="22" spans="1:63" ht="12.75">
      <c r="A22" s="90">
        <v>8</v>
      </c>
      <c r="B22" s="410">
        <v>7.5</v>
      </c>
      <c r="C22" s="699">
        <f>J22-J23</f>
        <v>0.03571190292132087</v>
      </c>
      <c r="D22" s="378">
        <v>1.1068E-09</v>
      </c>
      <c r="E22" s="157">
        <f>(((3.1415926535*(5/3)^(1/2)*O4*D22*C8)/C5)^2*A17)/(B17+A27)^3</f>
        <v>38.03221601661644</v>
      </c>
      <c r="F22" s="385">
        <f>(((C5*C8*O4)/(8^(1/2)*3.1415926535*C10^2*C7*O3))^2)*(A17^3/(B17+A27))</f>
        <v>0.025064823598911094</v>
      </c>
      <c r="G22" s="645">
        <f>(2*3.142*$O$4^2*$C$8*$D22*K22)/(3*$C$5*$O$6*(L22+$A$27)^2)</f>
        <v>3.186786359686572</v>
      </c>
      <c r="H22" s="650">
        <f>(2*3.142*$C$8*$O$4*D22)/(3*$C$5*$A$27)</f>
        <v>19.110310353326046</v>
      </c>
      <c r="I22" s="284">
        <f>-($C$5*$H$6*$C$7^2/A17^2)*(1+($B$30^2*$C$7^2/A17^2)*(A17/(B17)-(O4/O6)*(1-(B30^2*C7^2/2*A17^2)*(2*A17^2/L22^2-1)-A48*O4/O3)*A17*A27*G22/((B17+A27)*B17)+2*O4^2/(O3*O6)*A48*B48*(A17*A27*A44*H22/(B17*(B17+A27)^2))-0.75-E22-F22))</f>
        <v>-2.420214029914124E-12</v>
      </c>
      <c r="J22" s="472">
        <f t="shared" si="1"/>
        <v>97492.26104251815</v>
      </c>
      <c r="K22" s="82">
        <v>3</v>
      </c>
      <c r="L22" s="83">
        <v>2.5</v>
      </c>
      <c r="M22" s="83" t="s">
        <v>10</v>
      </c>
      <c r="N22" s="683" t="str">
        <f t="shared" si="0"/>
        <v>N.P.</v>
      </c>
      <c r="O22" s="144" t="str">
        <f>IF(AND($BK22-N$79&lt;&gt;2,$BK22-N$79&lt;&gt;-2,OR(L22-O$13=1,$L22-O$13=-1)),IF($K22&lt;&gt;O$12,-($C$5*$C$8/($I$16-$I22))*100000000/$V$10,"N.P."),"N.P.")</f>
        <v>N.P.</v>
      </c>
      <c r="P22" s="153">
        <f>IF(AND($BK22-O$79&lt;&gt;2,$BK22-O$79&lt;&gt;-2,OR($L22-P$13=1,$L22-P$13=-1)),IF(K22&lt;&gt;P$12,-($C$5*$C$8/($I$17-$I22))*100000000/$V$10,"N.P."),"N.P.")</f>
        <v>6562.851655501595</v>
      </c>
      <c r="Q22" s="146" t="str">
        <f>IF(AND($BK22-P$79&lt;&gt;2,$BK22-P$79&lt;&gt;-2,OR($L22-Q$13=1,$L22-Q$13=-1)),IF($K22&lt;&gt;Q$12,-($C$5*$C$8/($I$18-I22))*100000000/$V$10,"N.P."),"N.P.")</f>
        <v>N.P.</v>
      </c>
      <c r="R22" s="159" t="str">
        <f>IF(AND($BK22-Q$79&lt;&gt;2,$BK22-Q$79&lt;&gt;-2,OR($L22-R$13=1,$L22-R$13=-1)),IF($K22&lt;&gt;R$12,-($C$5*$C$8/($I$19-$I22))*100000000/$Q$10,"N.P."),"N.P.")</f>
        <v>N.P.</v>
      </c>
      <c r="S22" s="85" t="str">
        <f>IF(AND($BK22-R$79&lt;&gt;2,$BK22-R$79&lt;&gt;-2,OR($L22-S$13=1,$L22-S$13=-1)),IF($K22&lt;&gt;S$12,-($C$5*$C$8/($I$20-$I22))*100000000/$Q$10,"N.P."),"N.P.")</f>
        <v>N.P.</v>
      </c>
      <c r="T22" s="85" t="str">
        <f>IF(AND($BK22-S$79&lt;&gt;2,$BK22-S$79&lt;&gt;-2,OR($L22-T$13=1,$L22-T$13=-1)),IF($K22&lt;&gt;T$12,-($C$5*$C$8/($I$21-$I22))*100000000/$Q$10,"N.P."),"N.P.")</f>
        <v>N.P.</v>
      </c>
      <c r="U22" s="85" t="str">
        <f>IF(AND($BK22-T$79&lt;&gt;2,$BK22-T$79&lt;&gt;-2,OR($L22-U$13=1,$L22-U$13=-1)),IF($K22&lt;&gt;U$12,-($C$5*$C$8/($I$22-$I22))*100000000/$Q$10,"N.P."),"N.P.")</f>
        <v>N.P.</v>
      </c>
      <c r="V22" s="160" t="str">
        <f>IF(AND($BK22-U$79&lt;&gt;2,$BK22-U$79&lt;&gt;-2,OR($L22-V$13=1,$L22-V$13=-1)),IF($K22&lt;&gt;V$12,-($C$5*$C$8/($I$23-$I22))*100000000/$Q$10,"N.P."),"N.P.")</f>
        <v>N.P.</v>
      </c>
      <c r="W22" s="62"/>
      <c r="X22" s="80"/>
      <c r="Y22" s="80"/>
      <c r="Z22" s="80"/>
      <c r="AA22" s="80"/>
      <c r="AB22" s="80"/>
      <c r="AC22" s="143"/>
      <c r="AD22" s="59"/>
      <c r="AE22" s="59"/>
      <c r="AF22" s="59"/>
      <c r="AG22" s="59"/>
      <c r="AH22" s="59"/>
      <c r="AI22" s="59"/>
      <c r="AJ22" s="59"/>
      <c r="AK22" s="59"/>
      <c r="AL22" s="81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81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20">
        <v>3</v>
      </c>
    </row>
    <row r="23" spans="1:63" ht="12.75">
      <c r="A23" s="58"/>
      <c r="B23" s="91"/>
      <c r="C23" s="700"/>
      <c r="D23" s="380">
        <v>6.127E-10</v>
      </c>
      <c r="E23" s="161">
        <f>(((3.1415926535*(5/3)^(1/2)*O4*D23*C8)/C5)^2*A17)/(B17+A28)^3</f>
        <v>39.335336341154544</v>
      </c>
      <c r="F23" s="386">
        <f>(((C5*C8*O4)/(8^(1/2)*3.1415926535*C10^2*C7*O3))^2)*(A17^3/(B17+A28))</f>
        <v>0.03759723539836664</v>
      </c>
      <c r="G23" s="646">
        <f>(2*3.142*$O$4^2*$C$8*$D23*K23)/(3*$C$5*$O$6*(L23+$A$28)^2)</f>
        <v>3.9693024989202357</v>
      </c>
      <c r="H23" s="651">
        <f>(2*3.142*$C$8*$O$4*D23)/(3*$C$5*$A$28)</f>
        <v>-10.579045133251599</v>
      </c>
      <c r="I23" s="285">
        <f>-($C$5*$H$6*$C$7^2/A17^2)*(1+($B$30^2*$C$7^2/A17^2)*(A17/(B17)-(O4/O6)*(1-(B30^2*C7^2/2*A17^2)*(2*A17^2/L23^2-1)-A48*O4/O3)*A17*A28*G23/((B17+A28)*B17)+2*O4^2/(O3*O6)*A48*B48*(A17*A28*A45*H23/(B17*(B17+A28)^2))-0.75-E23-F23))</f>
        <v>-2.4202211238959504E-12</v>
      </c>
      <c r="J23" s="481">
        <f t="shared" si="1"/>
        <v>97492.22533061523</v>
      </c>
      <c r="K23" s="86">
        <v>3</v>
      </c>
      <c r="L23" s="92">
        <v>2.5</v>
      </c>
      <c r="M23" s="87" t="s">
        <v>11</v>
      </c>
      <c r="N23" s="686" t="str">
        <f t="shared" si="0"/>
        <v>N.P.</v>
      </c>
      <c r="O23" s="148" t="str">
        <f>IF(AND($BK23-N$79&lt;&gt;2,$BK23-N$79&lt;&gt;-2,OR(L23-O$13=1,$L23-O$13=-1)),IF($K23&lt;&gt;O$12,-($C$5*$C$8/($I$16-$I23))*100000000/$V$10,"N.P."),"N.P.")</f>
        <v>N.P.</v>
      </c>
      <c r="P23" s="163">
        <f>IF(AND($BK23-O$79&lt;&gt;2,$BK23-O$79&lt;&gt;-2,OR($L23-P$13=1,$L23-P$13=-1)),IF(K23&lt;&gt;P$12,-($C$5*$C$8/($I$17-$I23))*100000000/$V$10,"N.P."),"N.P.")</f>
        <v>6562.867041282355</v>
      </c>
      <c r="Q23" s="164">
        <f>IF(AND($BK23-P$79&lt;&gt;2,$BK23-P$79&lt;&gt;-2,OR($L23-Q$13=1,$L23-Q$13=-1)),IF($K23&lt;&gt;Q$12,-($C$5*$C$8/($I$18-I23))*100000000/$V$10,"N.P."),"N.P.")</f>
        <v>6562.709734820176</v>
      </c>
      <c r="R23" s="165" t="str">
        <f>IF(AND($BK23-Q$79&lt;&gt;2,$BK23-Q$79&lt;&gt;-2,OR($L23-R$13=1,$L23-R$13=-1)),IF($K23&lt;&gt;R$12,-($C$5*$C$8/($I$19-$I23))*100000000/$Q$10,"N.P."),"N.P.")</f>
        <v>N.P.</v>
      </c>
      <c r="S23" s="89" t="str">
        <f>IF(AND($BK23-R$79&lt;&gt;2,$BK23-R$79&lt;&gt;-2,OR($L23-S$13=1,$L23-S$13=-1)),IF($K23&lt;&gt;S$12,-($C$5*$C$8/($I$20-$I23))*100000000/$Q$10,"N.P."),"N.P.")</f>
        <v>N.P.</v>
      </c>
      <c r="T23" s="89" t="str">
        <f>IF(AND($BK23-S$79&lt;&gt;2,$BK23-S$79&lt;&gt;-2,OR($L23-T$13=1,$L23-T$13=-1)),IF($K23&lt;&gt;T$12,-($C$5*$C$8/($I$21-$I23))*100000000/$Q$10,"N.P."),"N.P.")</f>
        <v>N.P.</v>
      </c>
      <c r="U23" s="89" t="str">
        <f>IF(AND($BK23-T$79&lt;&gt;2,$BK23-T$79&lt;&gt;-2,OR($L23-U$13=1,$L23-U$13=-1)),IF($K23&lt;&gt;U$12,-($C$5*$C$8/($I$22-$I23))*100000000/$Q$10,"N.P."),"N.P.")</f>
        <v>N.P.</v>
      </c>
      <c r="V23" s="166" t="str">
        <f>IF(AND($BK23-U$79&lt;&gt;2,$BK23-U$79&lt;&gt;-2,OR($L23-V$13=1,$L23-V$13=-1)),IF($K23&lt;&gt;V$12,-($C$5*$C$8/($I$23-$I23))*100000000/$Q$10,"N.P."),"N.P.")</f>
        <v>N.P.</v>
      </c>
      <c r="W23" s="73"/>
      <c r="X23" s="80"/>
      <c r="Y23" s="80"/>
      <c r="Z23" s="80"/>
      <c r="AA23" s="80"/>
      <c r="AB23" s="80"/>
      <c r="AC23" s="143"/>
      <c r="AD23" s="59"/>
      <c r="AE23" s="59"/>
      <c r="AF23" s="59"/>
      <c r="AG23" s="59"/>
      <c r="AH23" s="59"/>
      <c r="AI23" s="59"/>
      <c r="AJ23" s="59"/>
      <c r="AK23" s="59"/>
      <c r="AL23" s="8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81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21">
        <v>2</v>
      </c>
    </row>
    <row r="24" spans="1:63" ht="12.75">
      <c r="A24" s="79" t="s">
        <v>46</v>
      </c>
      <c r="B24" s="353"/>
      <c r="C24" s="701">
        <f>J24-J26</f>
        <v>0.004378983459901065</v>
      </c>
      <c r="D24" s="382">
        <v>2.8182E-10</v>
      </c>
      <c r="E24" s="152">
        <f>(((3.1415926535*(5/3)^(1/2)*O4*D24*C8)/C5)^2*A18)/(B15+A27)^3</f>
        <v>88.76861666798622</v>
      </c>
      <c r="F24" s="383">
        <f>(((C5*C8*O4)/(8^(1/2)*3.1415926535*C10^2*C7*O3))^2)*(A18^3/(B15+A27))</f>
        <v>0.17823874559225666</v>
      </c>
      <c r="G24" s="645">
        <f>(2*3.142*$O$4^2*$C$8*$D24*K24)/(3*$C$5*$O$6*(L24+$A$27)^2)</f>
        <v>9.737262000941849</v>
      </c>
      <c r="H24" s="650">
        <f>(2*3.142*$C$8*$O$4*D24)/(3*$C$5*$A$27)</f>
        <v>4.865980903301723</v>
      </c>
      <c r="I24" s="284">
        <f>-$C$5*$H$6*$C$7^2/A18^2*(1+($B$30^2*$C$7^2/A18^2)*(A18/(B15)-(O4/O6)*(1-(B30^2*C7^2/2*K24^2)*(2*K24^2/L24^2-1)-A48*O4/O3)*A18*A27*G24/((B15+A27)*B15)+2*O4^2/(O3*O6)*A48*B48*(A18*A27*A44*H24/(B15*(B15+A27)^2))-0.75-E24-F24))</f>
        <v>-1.361141878315394E-12</v>
      </c>
      <c r="J24" s="472">
        <f t="shared" si="1"/>
        <v>102823.74944932833</v>
      </c>
      <c r="K24" s="82">
        <v>4</v>
      </c>
      <c r="L24" s="83">
        <v>0.5</v>
      </c>
      <c r="M24" s="83" t="s">
        <v>7</v>
      </c>
      <c r="N24" s="683" t="str">
        <f t="shared" si="0"/>
        <v>N.P.</v>
      </c>
      <c r="O24" s="144" t="str">
        <f aca="true" t="shared" si="2" ref="O24:O30">IF(AND($BK24-N$79&lt;&gt;2,$BK24-N$79&lt;&gt;-2,OR(L24-O$13=1,$L24-O$13=-1)),IF($K24&lt;&gt;O$12,-($C$5*$C$8/($I$16-$I24))*100000000/$U$10,"N.P."),"N.P.")</f>
        <v>N.P.</v>
      </c>
      <c r="P24" s="153">
        <f aca="true" t="shared" si="3" ref="P24:P30">IF(AND($BK24-O$79&lt;&gt;2,$BK24-O$79&lt;&gt;-2,OR($L24-P$13=1,$L24-P$13=-1)),IF(K24&lt;&gt;P$12,-($C$5*$C$8/($I$17-$I24))*100000000/$U$10,"N.P."),"N.P.")</f>
        <v>4861.375749071806</v>
      </c>
      <c r="Q24" s="154">
        <f aca="true" t="shared" si="4" ref="Q24:Q30">IF(AND($BK24-P$79&lt;&gt;2,$BK24-P$79&lt;&gt;-2,OR($L24-Q$13=1,$L24-Q$13=-1)),IF($K24&lt;&gt;Q$12,-($C$5*$C$8/($I$18-I24))*100000000/$U$10,"N.P."),"N.P.")</f>
        <v>4861.289434965104</v>
      </c>
      <c r="R24" s="159" t="str">
        <f aca="true" t="shared" si="5" ref="R24:R30">IF(AND($BK24-Q$79&lt;&gt;2,$BK24-Q$79&lt;&gt;-2,OR($L24-R$13=1,$L24-R$13=-1)),IF($K24&lt;&gt;R$12,-($C$5*$C$8/($I$19-$I24))*100000000/$AA$10,"N.P."),"N.P.")</f>
        <v>N.P.</v>
      </c>
      <c r="S24" s="153">
        <f aca="true" t="shared" si="6" ref="S24:S30">IF(AND($BK24-R$79&lt;&gt;2,$BK24-R$79&lt;&gt;-2,OR($L24-S$13=1,$L24-S$13=-1)),IF($K24&lt;&gt;S$12,-($C$5*$C$8/($I$20-$I24))*100000000/$AA$10,"N.P."),"N.P.")</f>
        <v>18751.215567715957</v>
      </c>
      <c r="T24" s="153">
        <f aca="true" t="shared" si="7" ref="T24:T30">IF(AND($BK24-S$79&lt;&gt;2,$BK24-S$79&lt;&gt;-2,OR($L24-T$13=1,$L24-T$13=-1)),IF($K24&lt;&gt;T$12,-($C$5*$C$8/($I$21-$I24))*100000000/$AA$10,"N.P."),"N.P.")</f>
        <v>18750.84565559648</v>
      </c>
      <c r="U24" s="85" t="str">
        <f aca="true" t="shared" si="8" ref="U24:U30">IF(AND($BK24-T$79&lt;&gt;2,$BK24-T$79&lt;&gt;-2,OR($L24-U$13=1,$L24-U$13=-1)),IF($K24&lt;&gt;U$12,-($C$5*$C$8/($I$22-$I24))*100000000/$AA$10,"N.P."),"N.P.")</f>
        <v>N.P.</v>
      </c>
      <c r="V24" s="160" t="str">
        <f aca="true" t="shared" si="9" ref="V24:V30">IF(AND($BK24-U$79&lt;&gt;2,$BK24-U$79&lt;&gt;-2,OR($L24-V$13=1,$L24-V$13=-1)),IF($K24&lt;&gt;V$12,-($C$5*$C$8/($I$23-$I24))*100000000/$AA$10,"N.P."),"N.P.")</f>
        <v>N.P.</v>
      </c>
      <c r="W24" s="167" t="str">
        <f aca="true" t="shared" si="10" ref="W24:W30">IF(AND($BK24-V$79&lt;&gt;2,$BK24-V$79&lt;&gt;-2,OR($L24-W$13=1,$L24-W$13=-1)),IF($K24&lt;&gt;W$12,-($C$5*$C$8/($I$24-$I24))*100000000/$Q$10,"N.P."),"N.P.")</f>
        <v>N.P.</v>
      </c>
      <c r="X24" s="168" t="str">
        <f aca="true" t="shared" si="11" ref="X24:X30">IF(AND($BK24-W$79&lt;&gt;2,$BK24-W$79&lt;&gt;-2,OR($L24-X$13=1,$L24-X$13=-1)),IF($K24&lt;&gt;X$12,-($C$5*$C$8/($I$25-$I24))*100000000/$Q$10,"N.P."),"N.P.")</f>
        <v>N.P.</v>
      </c>
      <c r="Y24" s="168" t="str">
        <f aca="true" t="shared" si="12" ref="Y24:Y30">IF(AND($BK24-X$79&lt;&gt;2,$BK24-X$79&lt;&gt;-2,OR($L24-Y$13=1,$L24-Y$13=-1)),IF($K24&lt;&gt;Y$12,-($C$5*$C$8/($I$26-$I24))*100000000/$Q$10,"N.P."),"N.P.")</f>
        <v>N.P.</v>
      </c>
      <c r="Z24" s="168" t="str">
        <f aca="true" t="shared" si="13" ref="Z24:Z30">IF(AND($BK24-Y$79&lt;&gt;2,$BK24-Y$79&lt;&gt;-2,OR($L24-Z$13=1,$L24-Z$13=-1)),IF($K24&lt;&gt;Z$12,-($C$5*$C$8/($I$27-$I24))*100000000/$Q$10,"N.P."),"N.P.")</f>
        <v>N.P.</v>
      </c>
      <c r="AA24" s="168" t="str">
        <f aca="true" t="shared" si="14" ref="AA24:AA30">IF(AND($BK24-Z$79&lt;&gt;2,$BK24-Z$79&lt;&gt;-2,OR($L24-AA$13=1,$L24-AA$13=-1)),IF($K24&lt;&gt;AA$12,-($C$5*$C$8/($I$28-$I24))*100000000/$Q$10,"N.P."),"N.P.")</f>
        <v>N.P.</v>
      </c>
      <c r="AB24" s="168" t="str">
        <f aca="true" t="shared" si="15" ref="AB24:AB30">IF(AND($BK24-AA$79&lt;&gt;2,$BK24-AA$79&lt;&gt;-2,OR($L24-AB$13=1,$L24-AB$13=-1)),IF($K24&lt;&gt;AB$12,-($C$5*$C$8/($I$29-$I24))*100000000/$Q$10,"N.P."),"N.P.")</f>
        <v>N.P.</v>
      </c>
      <c r="AC24" s="169" t="str">
        <f aca="true" t="shared" si="16" ref="AC24:AC30">IF(AND($BK24-AB$79&lt;&gt;2,$BK24-AB$79&lt;&gt;-2,OR($L24-AC$13=1,$L24-AC$13=-1)),IF($K24&lt;&gt;AC$12,-($C$5*$C$8/($I$30-$I24))*100000000/$Q$10,"N.P."),"N.P.")</f>
        <v>N.P.</v>
      </c>
      <c r="AD24" s="170"/>
      <c r="AE24" s="170"/>
      <c r="AF24" s="170"/>
      <c r="AG24" s="170"/>
      <c r="AH24" s="170"/>
      <c r="AI24" s="170"/>
      <c r="AJ24" s="170"/>
      <c r="AK24" s="170"/>
      <c r="AL24" s="171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1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20">
        <v>1</v>
      </c>
    </row>
    <row r="25" spans="1:63" ht="12.75">
      <c r="A25" s="86" t="s">
        <v>37</v>
      </c>
      <c r="B25" s="84"/>
      <c r="C25" s="699">
        <f>J25-J24</f>
        <v>0.038780951959779486</v>
      </c>
      <c r="D25" s="378">
        <v>9.1405E-10</v>
      </c>
      <c r="E25" s="157">
        <f>(((3.1415926535*(5/3)^(1/2)*O4*D25*C8)/C5)^2*A18)/(B16+A27)^3</f>
        <v>116.72550187963772</v>
      </c>
      <c r="F25" s="385">
        <f>(((C5*C8*O4)/(8^(1/2)*3.1415926535*C10^2*C7*O3))^2)*(A18^3/(B16+A27))</f>
        <v>0.08911937279612833</v>
      </c>
      <c r="G25" s="645">
        <f>(2*3.142*$O$4^2*$C$8*$D25*K25)/(3*$C$5*$O$6*(L25+$A$27)^2)</f>
        <v>7.895415807927842</v>
      </c>
      <c r="H25" s="650">
        <f>(2*3.142*$C$8*$O$4*D25)/(3*$C$5*$A$27)</f>
        <v>15.782236337601802</v>
      </c>
      <c r="I25" s="284">
        <f>-$C$5*$H$6*$C$7^2/A18^2*(1+($B$30^2*$C$7^2/A18^2)*(A18/(B16)-(O4/O6)*(1-(B30^2*C7^2/2*K25^2)*(2*K25^2/L25^2-1)-A48*O4/O3)*A18*A27*G25/((B16+A27)*B16)+2*O4^2/(O3*O6)*A48*B48*(A18*A27*A44*H25/(B16*(B16+A27)^2))-0.75-E25-F25))</f>
        <v>-1.3611341746831047E-12</v>
      </c>
      <c r="J25" s="472">
        <f t="shared" si="1"/>
        <v>102823.78823028029</v>
      </c>
      <c r="K25" s="82">
        <v>4</v>
      </c>
      <c r="L25" s="83">
        <v>1.5</v>
      </c>
      <c r="M25" s="83" t="s">
        <v>8</v>
      </c>
      <c r="N25" s="684">
        <f t="shared" si="0"/>
        <v>972.5366963437875</v>
      </c>
      <c r="O25" s="158">
        <f t="shared" si="2"/>
        <v>4861.288608200709</v>
      </c>
      <c r="P25" s="145" t="str">
        <f t="shared" si="3"/>
        <v>N.P.</v>
      </c>
      <c r="Q25" s="146" t="str">
        <f t="shared" si="4"/>
        <v>N.P.</v>
      </c>
      <c r="R25" s="158">
        <f t="shared" si="5"/>
        <v>18750.746278810402</v>
      </c>
      <c r="S25" s="85" t="str">
        <f t="shared" si="6"/>
        <v>N.P.</v>
      </c>
      <c r="T25" s="85" t="str">
        <f t="shared" si="7"/>
        <v>N.P.</v>
      </c>
      <c r="U25" s="172">
        <f t="shared" si="8"/>
        <v>18751.214728536514</v>
      </c>
      <c r="V25" s="173">
        <f t="shared" si="9"/>
        <v>18751.08912905046</v>
      </c>
      <c r="W25" s="174" t="str">
        <f t="shared" si="10"/>
        <v>N.P.</v>
      </c>
      <c r="X25" s="175" t="str">
        <f t="shared" si="11"/>
        <v>N.P.</v>
      </c>
      <c r="Y25" s="175" t="str">
        <f t="shared" si="12"/>
        <v>N.P.</v>
      </c>
      <c r="Z25" s="175" t="str">
        <f t="shared" si="13"/>
        <v>N.P.</v>
      </c>
      <c r="AA25" s="175" t="str">
        <f t="shared" si="14"/>
        <v>N.P.</v>
      </c>
      <c r="AB25" s="175" t="str">
        <f t="shared" si="15"/>
        <v>N.P.</v>
      </c>
      <c r="AC25" s="176" t="str">
        <f t="shared" si="16"/>
        <v>N.P.</v>
      </c>
      <c r="AD25" s="170"/>
      <c r="AE25" s="170"/>
      <c r="AF25" s="170"/>
      <c r="AG25" s="170"/>
      <c r="AH25" s="170"/>
      <c r="AI25" s="170"/>
      <c r="AJ25" s="170"/>
      <c r="AK25" s="170"/>
      <c r="AL25" s="171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1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20">
        <v>2</v>
      </c>
    </row>
    <row r="26" spans="1:63" ht="14.25">
      <c r="A26" s="287" t="s">
        <v>74</v>
      </c>
      <c r="B26" s="44"/>
      <c r="C26" s="699"/>
      <c r="D26" s="378">
        <v>3.4865E-10</v>
      </c>
      <c r="E26" s="157">
        <f>(((3.1415926535*(5/3)^(1/2)*$O$4*$D$26*$C$8)/$C$5)^2*$A$18)/($B$16+$A$28)^3</f>
        <v>135.861113603867</v>
      </c>
      <c r="F26" s="385">
        <f>((($C$5*$C$8*$O$4)/(8^(1/2)*3.1415926535*$C$10^2*$C$7*$O$3))^2)*($A$18^3/($B$16+$A$28))</f>
        <v>0.17823874559225666</v>
      </c>
      <c r="G26" s="645">
        <f>(2*3.142*$O$4^2*$C$8*$D26*K26)/(3*$C$5*$O$6*(L26+$A$28)^2)</f>
        <v>12.046328850430685</v>
      </c>
      <c r="H26" s="650">
        <f>(2*3.142*$C$8*$O$4*D26)/(3*$C$5*$A$28)</f>
        <v>-6.019885891477346</v>
      </c>
      <c r="I26" s="284">
        <f>-C$5*H$6*C$7^2/A$18^2*(1+(B$30^2*C$7^2/A$18^2)*(A$18/(B$16)-(O$4/O$6)*(1-(B30^2*C7^2/2*K26^2)*(2*K26^2/L26^2-1)-A$48*O$4/O$3)*A$18*A$28*G26/((B$16+A$28)*B$16)+2*O$4^2/(O$3*O$6)*A$48*B$48*(A$18*A$28*A$45*H26/(B$16*(B$16+A$28)^2))-0.75-E$26-F$26))</f>
        <v>-1.361142748177444E-12</v>
      </c>
      <c r="J26" s="472">
        <f>(($I$26-$I$15)*624150636300)*8065.541</f>
        <v>102823.74507034487</v>
      </c>
      <c r="K26" s="82">
        <v>4</v>
      </c>
      <c r="L26" s="83">
        <v>1.5</v>
      </c>
      <c r="M26" s="83" t="s">
        <v>9</v>
      </c>
      <c r="N26" s="684">
        <f>IF(AND($BK$26-$M$79&lt;&gt;2,$BK$26-$M$79&lt;&gt;-2,OR($L$26-$N$13=1,$L$26-$N$13=-1)),IF($K$26&lt;&gt;$N$12,-($C$5*$C$8/($I$15-$I$26))*100000000,"N.P."),"N.P.")</f>
        <v>972.5371045629298</v>
      </c>
      <c r="O26" s="158">
        <f>IF(AND($BK$26-$N$79&lt;&gt;2,$BK$26-$N$79&lt;&gt;-2,OR($L$26-$O$13=1,$L$26-$O$13=-1)),IF($K$26&lt;&gt;$O$12,-($C$5*$C$8/($I$16-$I$26))*100000000/$U$10,"N.P."),"N.P.")</f>
        <v>4861.298810691487</v>
      </c>
      <c r="P26" s="145" t="str">
        <f>IF(AND($BK$26-$O$79&lt;&gt;2,$BK$26-$O$79&lt;&gt;-2,OR($L$26-$P$13=1,$L$26-$P$13=-1)),IF($K$26&lt;&gt;$P$12,-($C$5*$C$8/($I$17-$I$26))*100000000/$U$10,"N.P."),"N.P.")</f>
        <v>N.P.</v>
      </c>
      <c r="Q26" s="146" t="str">
        <f>IF(AND($BK$26-$P$79&lt;&gt;2,$BK$26-$P$79&lt;&gt;-2,OR($L$26-$Q$13=1,$L$26-$Q$13=-1)),IF($K$26&lt;&gt;$Q$12,-($C$5*$C$8/($I$18-$I$26))*100000000/$U$10,"N.P."),"N.P.")</f>
        <v>N.P.</v>
      </c>
      <c r="R26" s="158">
        <f>IF(AND($BK$26-$Q$79&lt;&gt;2,$BK$26-$Q$79&lt;&gt;-2,OR($L$26-$R$13=1,$L$26-$R$13=-1)),IF($K$26&lt;&gt;$R$12,-($C$5*$C$8/($I$19-$I$26))*100000000/$AA$10,"N.P."),"N.P.")</f>
        <v>18750.898067838833</v>
      </c>
      <c r="S26" s="85" t="str">
        <f>IF(AND($BK$26-$R$79&lt;&gt;2,$BK$26-$R$79&lt;&gt;-2,OR($L$26-$S$13=1,$L$26-$S$13=-1)),IF($K$26&lt;&gt;$S$12,-($C$5*$C$8/($I$20-$I$26))*100000000/$AA$10,"N.P."),"N.P.")</f>
        <v>N.P.</v>
      </c>
      <c r="T26" s="85" t="str">
        <f t="shared" si="7"/>
        <v>N.P.</v>
      </c>
      <c r="U26" s="85" t="str">
        <f t="shared" si="8"/>
        <v>N.P.</v>
      </c>
      <c r="V26" s="173">
        <f t="shared" si="9"/>
        <v>18751.24092362977</v>
      </c>
      <c r="W26" s="174" t="str">
        <f t="shared" si="10"/>
        <v>N.P.</v>
      </c>
      <c r="X26" s="175" t="str">
        <f t="shared" si="11"/>
        <v>N.P.</v>
      </c>
      <c r="Y26" s="175" t="str">
        <f t="shared" si="12"/>
        <v>N.P.</v>
      </c>
      <c r="Z26" s="175" t="str">
        <f t="shared" si="13"/>
        <v>N.P.</v>
      </c>
      <c r="AA26" s="175" t="str">
        <f t="shared" si="14"/>
        <v>N.P.</v>
      </c>
      <c r="AB26" s="175" t="str">
        <f t="shared" si="15"/>
        <v>N.P.</v>
      </c>
      <c r="AC26" s="176" t="str">
        <f t="shared" si="16"/>
        <v>N.P.</v>
      </c>
      <c r="AD26" s="170"/>
      <c r="AE26" s="170"/>
      <c r="AF26" s="170"/>
      <c r="AG26" s="170"/>
      <c r="AH26" s="170"/>
      <c r="AI26" s="170"/>
      <c r="AJ26" s="170"/>
      <c r="AK26" s="170"/>
      <c r="AL26" s="171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1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20">
        <v>1</v>
      </c>
    </row>
    <row r="27" spans="1:63" ht="12.75">
      <c r="A27" s="94">
        <f>0.5</f>
        <v>0.5</v>
      </c>
      <c r="B27" s="464" t="s">
        <v>47</v>
      </c>
      <c r="C27" s="699">
        <f>J27-J28</f>
        <v>0.015048821878735907</v>
      </c>
      <c r="D27" s="378">
        <v>1.7033E-09</v>
      </c>
      <c r="E27" s="157">
        <f>(((3.1415926535*(5/3)^(1/2)*O4*D27*C8)/C5)^2*A18)/(B17+A27)^3</f>
        <v>120.09760856136303</v>
      </c>
      <c r="F27" s="385">
        <f>(((C5*C8*O4)/(8^(1/2)*3.1415926535*C10^2*C7*O3))^2)*(A18^3/(B17+A27))</f>
        <v>0.059412915197418883</v>
      </c>
      <c r="G27" s="645">
        <f>(2*3.142*$O$4^2*$C$8*$D27*K27)/(3*$C$5*$O$6*(L27+$A$27)^2)</f>
        <v>6.539035304727308</v>
      </c>
      <c r="H27" s="650">
        <f>(2*3.142*$C$8*$O$4*D27)/(3*$C$5*$A$27)</f>
        <v>29.409641872804713</v>
      </c>
      <c r="I27" s="284">
        <f>-$C$5*$H$6*$C$7^2/A18^2*(1+($B$30^2*$C$7^2/A18^2)*(A18/(B17)-(O4/O6)*(1-(B30^2*C7^2/2*K27^2)*(2*K27^2/L27^2-1)-A48*O4/O3)*A18*A27*G27/((B17+A27)*B17)+2*O4^2/(O3*O6)*A48*B48*(A18*A27*A44*H27/(B17*(B17+A27)^2))-0.75-E27-F27))</f>
        <v>-1.36112994749112E-12</v>
      </c>
      <c r="J27" s="472">
        <f aca="true" t="shared" si="17" ref="J27:J39">((I27-$I$15)*624150636300)*8065.541</f>
        <v>102823.80951044051</v>
      </c>
      <c r="K27" s="82">
        <v>4</v>
      </c>
      <c r="L27" s="83">
        <v>2.5</v>
      </c>
      <c r="M27" s="83" t="s">
        <v>10</v>
      </c>
      <c r="N27" s="683" t="str">
        <f t="shared" si="0"/>
        <v>N.P.</v>
      </c>
      <c r="O27" s="144" t="str">
        <f t="shared" si="2"/>
        <v>N.P.</v>
      </c>
      <c r="P27" s="153">
        <f t="shared" si="3"/>
        <v>4861.361550907932</v>
      </c>
      <c r="Q27" s="146" t="str">
        <f t="shared" si="4"/>
        <v>N.P.</v>
      </c>
      <c r="R27" s="159" t="str">
        <f t="shared" si="5"/>
        <v>N.P.</v>
      </c>
      <c r="S27" s="172">
        <f t="shared" si="6"/>
        <v>18751.004332513476</v>
      </c>
      <c r="T27" s="85" t="str">
        <f t="shared" si="7"/>
        <v>N.P.</v>
      </c>
      <c r="U27" s="85" t="str">
        <f t="shared" si="8"/>
        <v>N.P.</v>
      </c>
      <c r="V27" s="160" t="str">
        <f t="shared" si="9"/>
        <v>N.P.</v>
      </c>
      <c r="W27" s="174" t="str">
        <f t="shared" si="10"/>
        <v>N.P.</v>
      </c>
      <c r="X27" s="175" t="str">
        <f t="shared" si="11"/>
        <v>N.P.</v>
      </c>
      <c r="Y27" s="175" t="str">
        <f t="shared" si="12"/>
        <v>N.P.</v>
      </c>
      <c r="Z27" s="175" t="str">
        <f t="shared" si="13"/>
        <v>N.P.</v>
      </c>
      <c r="AA27" s="175" t="str">
        <f t="shared" si="14"/>
        <v>N.P.</v>
      </c>
      <c r="AB27" s="175" t="str">
        <f t="shared" si="15"/>
        <v>N.P.</v>
      </c>
      <c r="AC27" s="176" t="str">
        <f t="shared" si="16"/>
        <v>N.P.</v>
      </c>
      <c r="AD27" s="170"/>
      <c r="AE27" s="170"/>
      <c r="AF27" s="170"/>
      <c r="AG27" s="170"/>
      <c r="AH27" s="170"/>
      <c r="AI27" s="170"/>
      <c r="AJ27" s="170"/>
      <c r="AK27" s="170"/>
      <c r="AL27" s="171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1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20">
        <v>3</v>
      </c>
    </row>
    <row r="28" spans="1:63" ht="12.75">
      <c r="A28" s="95">
        <f>-0.5</f>
        <v>-0.5</v>
      </c>
      <c r="B28" s="465" t="s">
        <v>48</v>
      </c>
      <c r="C28" s="699"/>
      <c r="D28" s="378">
        <v>9.435E-10</v>
      </c>
      <c r="E28" s="157">
        <f>(((3.1415926535*(5/3)^(1/2)*O4*D28*C8)/C5)^2*A18)/(B17+A28)^3</f>
        <v>124.36828710964787</v>
      </c>
      <c r="F28" s="385">
        <f>(((C5*C8*O4)/(8^(1/2)*3.1415926535*C10^2*C7*O3))^2)*(A18^3/(B17+A28))</f>
        <v>0.08911937279612833</v>
      </c>
      <c r="G28" s="645">
        <f>(2*3.142*$O$4^2*$C$8*$D28*K28)/(3*$C$5*$O$6*(L28+$A$28)^2)</f>
        <v>8.149800136513232</v>
      </c>
      <c r="H28" s="650">
        <f>(2*3.142*$C$8*$O$4*D28)/(3*$C$5*$A$28)</f>
        <v>-16.290728061405066</v>
      </c>
      <c r="I28" s="284">
        <f>-$C$5*$H$6*$C$7^2/A18^2*(1+($B$30^2*$C$7^2/A18^2)*(A18/(B17)-(O4/O6)*(1-(B30^2*C7^2/2*K28^2)*(2*K28^2/L28^2-1)-A48*O4/O3)*A18*A28*G28/((B17+A28)*B17)+2*O4^2/(O3*O6)*A48*B48*(A18*A28*A45*H28/(B17*(B17+A28)^2))-0.75-E28-F28))</f>
        <v>-1.3611329368604952E-12</v>
      </c>
      <c r="J28" s="472">
        <f t="shared" si="17"/>
        <v>102823.79446161863</v>
      </c>
      <c r="K28" s="82">
        <v>4</v>
      </c>
      <c r="L28" s="83">
        <v>2.5</v>
      </c>
      <c r="M28" s="83" t="s">
        <v>11</v>
      </c>
      <c r="N28" s="683" t="str">
        <f t="shared" si="0"/>
        <v>N.P.</v>
      </c>
      <c r="O28" s="144" t="str">
        <f t="shared" si="2"/>
        <v>N.P.</v>
      </c>
      <c r="P28" s="172">
        <f t="shared" si="3"/>
        <v>4861.365108370717</v>
      </c>
      <c r="Q28" s="154">
        <f t="shared" si="4"/>
        <v>4861.278794641866</v>
      </c>
      <c r="R28" s="159" t="str">
        <f t="shared" si="5"/>
        <v>N.P.</v>
      </c>
      <c r="S28" s="172">
        <f t="shared" si="6"/>
        <v>18751.05725884108</v>
      </c>
      <c r="T28" s="172">
        <f t="shared" si="7"/>
        <v>18750.687352967547</v>
      </c>
      <c r="U28" s="85" t="str">
        <f t="shared" si="8"/>
        <v>N.P.</v>
      </c>
      <c r="V28" s="160" t="str">
        <f t="shared" si="9"/>
        <v>N.P.</v>
      </c>
      <c r="W28" s="174" t="str">
        <f t="shared" si="10"/>
        <v>N.P.</v>
      </c>
      <c r="X28" s="175" t="str">
        <f t="shared" si="11"/>
        <v>N.P.</v>
      </c>
      <c r="Y28" s="175" t="str">
        <f t="shared" si="12"/>
        <v>N.P.</v>
      </c>
      <c r="Z28" s="175" t="str">
        <f t="shared" si="13"/>
        <v>N.P.</v>
      </c>
      <c r="AA28" s="175" t="str">
        <f t="shared" si="14"/>
        <v>N.P.</v>
      </c>
      <c r="AB28" s="175" t="str">
        <f t="shared" si="15"/>
        <v>N.P.</v>
      </c>
      <c r="AC28" s="176" t="str">
        <f t="shared" si="16"/>
        <v>N.P.</v>
      </c>
      <c r="AD28" s="170"/>
      <c r="AE28" s="170"/>
      <c r="AF28" s="170"/>
      <c r="AG28" s="170"/>
      <c r="AH28" s="170"/>
      <c r="AI28" s="170"/>
      <c r="AJ28" s="170"/>
      <c r="AK28" s="170"/>
      <c r="AL28" s="171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1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20">
        <v>2</v>
      </c>
    </row>
    <row r="29" spans="1:63" ht="12.75">
      <c r="A29" s="46"/>
      <c r="B29" s="46"/>
      <c r="C29" s="699">
        <f>J29-J30</f>
        <v>0.008209828592953272</v>
      </c>
      <c r="D29" s="378">
        <v>2.6315E-09</v>
      </c>
      <c r="E29" s="138">
        <f>(((3.1415926535*(5/3)^(1/2)*O4*D29*C8)/C5)^2*A18)/(B18+A27)^3</f>
        <v>120.9323815617728</v>
      </c>
      <c r="F29" s="379">
        <f>(((C5*C8*O4)/(8^(1/2)*3.1415926535*C10^2*C7*O3))^2)*(A18^3/(B18+A27))</f>
        <v>0.044559686398064166</v>
      </c>
      <c r="G29" s="645">
        <f>(2*3.142*$O$4^2*$C$8*$D29*K29)/(3*$C$5*$O$6*(L29+$A$27)^2)</f>
        <v>5.682617662754256</v>
      </c>
      <c r="H29" s="650">
        <f>(2*3.142*$C$8*$O$4*D29)/(3*$C$5*$A$27)</f>
        <v>45.43619596564645</v>
      </c>
      <c r="I29" s="284">
        <f>-$C$5*$H$6*$C$7^2/A18^2*(1+($B$30^2*$C$7^2/A18^2)*(A18/(B18)-(O4/O6)*(1-(B30^2*C7^2/2*K29^2)*(2*K29^2/L29^2-1)-A48*O4/O3)*A18*A27*G29/((B18+A27)*B18)+2*O4^2/(O3*O6)*A48*B48*(A18*A27*A44*H29/(B18*(B18+A27)^2))-0.75-E29-F29))</f>
        <v>-1.3611283449965217E-12</v>
      </c>
      <c r="J29" s="472">
        <f t="shared" si="17"/>
        <v>102823.81757757867</v>
      </c>
      <c r="K29" s="82">
        <v>4</v>
      </c>
      <c r="L29" s="83">
        <v>3.5</v>
      </c>
      <c r="M29" s="83" t="s">
        <v>12</v>
      </c>
      <c r="N29" s="683" t="str">
        <f t="shared" si="0"/>
        <v>N.P.</v>
      </c>
      <c r="O29" s="144" t="str">
        <f t="shared" si="2"/>
        <v>N.P.</v>
      </c>
      <c r="P29" s="145" t="str">
        <f t="shared" si="3"/>
        <v>N.P.</v>
      </c>
      <c r="Q29" s="146" t="str">
        <f t="shared" si="4"/>
        <v>N.P.</v>
      </c>
      <c r="R29" s="159" t="str">
        <f t="shared" si="5"/>
        <v>N.P.</v>
      </c>
      <c r="S29" s="85" t="str">
        <f t="shared" si="6"/>
        <v>N.P.</v>
      </c>
      <c r="T29" s="85" t="str">
        <f t="shared" si="7"/>
        <v>N.P.</v>
      </c>
      <c r="U29" s="153">
        <f t="shared" si="8"/>
        <v>18751.111513370382</v>
      </c>
      <c r="V29" s="160" t="str">
        <f t="shared" si="9"/>
        <v>N.P.</v>
      </c>
      <c r="W29" s="174" t="str">
        <f t="shared" si="10"/>
        <v>N.P.</v>
      </c>
      <c r="X29" s="175" t="str">
        <f t="shared" si="11"/>
        <v>N.P.</v>
      </c>
      <c r="Y29" s="175" t="str">
        <f t="shared" si="12"/>
        <v>N.P.</v>
      </c>
      <c r="Z29" s="175" t="str">
        <f t="shared" si="13"/>
        <v>N.P.</v>
      </c>
      <c r="AA29" s="175" t="str">
        <f t="shared" si="14"/>
        <v>N.P.</v>
      </c>
      <c r="AB29" s="175" t="str">
        <f t="shared" si="15"/>
        <v>N.P.</v>
      </c>
      <c r="AC29" s="176" t="str">
        <f t="shared" si="16"/>
        <v>N.P.</v>
      </c>
      <c r="AD29" s="170"/>
      <c r="AE29" s="170"/>
      <c r="AF29" s="170"/>
      <c r="AG29" s="170"/>
      <c r="AH29" s="170"/>
      <c r="AI29" s="170"/>
      <c r="AJ29" s="170"/>
      <c r="AK29" s="170"/>
      <c r="AL29" s="171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1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20">
        <v>4</v>
      </c>
    </row>
    <row r="30" spans="1:63" ht="12.75">
      <c r="A30" s="241" t="s">
        <v>43</v>
      </c>
      <c r="B30" s="653">
        <f>(2*3.1415926535*C10^2)/(C5*C8)</f>
        <v>0.007297352553842522</v>
      </c>
      <c r="C30" s="700"/>
      <c r="D30" s="380">
        <v>1.721E-09</v>
      </c>
      <c r="E30" s="177">
        <f>(((3.1415926535*(5/3)^(1/2)*O4*D30*C8)/C5)^2*A18)/(B18+A28)^3</f>
        <v>122.60658821228665</v>
      </c>
      <c r="F30" s="387">
        <f>(((C5*C8*O4)/(8^(1/2)*3.1415926535*C10^2*C7*O3))^2)*(A18^3/(B18+A28))</f>
        <v>0.059412915197418883</v>
      </c>
      <c r="G30" s="646">
        <f>(2*3.142*$O$4^2*$C$8*$D30*K30)/(3*$C$5*$O$6*(L30+$A$28)^2)</f>
        <v>6.606986296856513</v>
      </c>
      <c r="H30" s="651">
        <f>(2*3.142*$C$8*$O$4*D30)/(3*$C$5*$A$28)</f>
        <v>-29.715254895260323</v>
      </c>
      <c r="I30" s="285">
        <f>-$C$5*$H$6*$C$7^2/A18^2*(1+($B$30^2*$C$7^2/A18^2)*(A18/(B18)-(O4/O6)*(1-(B30^2*C7^2/2*K30^2)*(2*K30^2/L30^2-1)-A48*O4/O3)*A18*A28*G30/((B18+A28)*B18)+2*O4^2/(O3*O6)*A48*B48*(A18*A28*A45*H30/(B18*(B18+A28)^2))-0.75-E30-F30))</f>
        <v>-1.3611299758358225E-12</v>
      </c>
      <c r="J30" s="481">
        <f t="shared" si="17"/>
        <v>102823.80936775007</v>
      </c>
      <c r="K30" s="86">
        <v>4</v>
      </c>
      <c r="L30" s="87">
        <v>3.5</v>
      </c>
      <c r="M30" s="87" t="s">
        <v>13</v>
      </c>
      <c r="N30" s="686" t="str">
        <f t="shared" si="0"/>
        <v>N.P.</v>
      </c>
      <c r="O30" s="148" t="str">
        <f t="shared" si="2"/>
        <v>N.P.</v>
      </c>
      <c r="P30" s="149" t="str">
        <f t="shared" si="3"/>
        <v>N.P.</v>
      </c>
      <c r="Q30" s="150" t="str">
        <f t="shared" si="4"/>
        <v>N.P.</v>
      </c>
      <c r="R30" s="165" t="str">
        <f t="shared" si="5"/>
        <v>N.P.</v>
      </c>
      <c r="S30" s="89" t="str">
        <f t="shared" si="6"/>
        <v>N.P.</v>
      </c>
      <c r="T30" s="89" t="str">
        <f t="shared" si="7"/>
        <v>N.P.</v>
      </c>
      <c r="U30" s="660">
        <f t="shared" si="8"/>
        <v>18751.140387423835</v>
      </c>
      <c r="V30" s="659">
        <f t="shared" si="9"/>
        <v>18751.014788933677</v>
      </c>
      <c r="W30" s="178" t="str">
        <f t="shared" si="10"/>
        <v>N.P.</v>
      </c>
      <c r="X30" s="179" t="str">
        <f t="shared" si="11"/>
        <v>N.P.</v>
      </c>
      <c r="Y30" s="179" t="str">
        <f t="shared" si="12"/>
        <v>N.P.</v>
      </c>
      <c r="Z30" s="179" t="str">
        <f t="shared" si="13"/>
        <v>N.P.</v>
      </c>
      <c r="AA30" s="179" t="str">
        <f t="shared" si="14"/>
        <v>N.P.</v>
      </c>
      <c r="AB30" s="179" t="str">
        <f t="shared" si="15"/>
        <v>N.P.</v>
      </c>
      <c r="AC30" s="180" t="str">
        <f t="shared" si="16"/>
        <v>N.P.</v>
      </c>
      <c r="AD30" s="93"/>
      <c r="AE30" s="170"/>
      <c r="AF30" s="170"/>
      <c r="AG30" s="170"/>
      <c r="AH30" s="170"/>
      <c r="AI30" s="170"/>
      <c r="AJ30" s="170"/>
      <c r="AK30" s="170"/>
      <c r="AL30" s="171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1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21">
        <v>3</v>
      </c>
    </row>
    <row r="31" spans="1:63" ht="12.75">
      <c r="A31" s="242" t="s">
        <v>72</v>
      </c>
      <c r="B31" s="654">
        <f>1/B30</f>
        <v>137.0359993739697</v>
      </c>
      <c r="C31" s="699">
        <f>J31-J33</f>
        <v>0.002261418994748965</v>
      </c>
      <c r="D31" s="382">
        <v>4.0241E-10</v>
      </c>
      <c r="E31" s="181">
        <f>(((3.1415926535*(5/3)^(1/2)*O4*D31*C8)/C5)^2*A19)/(B15+A27)^3</f>
        <v>226.23686443618692</v>
      </c>
      <c r="F31" s="388">
        <f>(((C5*C8*O4)/(8^(1/2)*3.1415926535*C10^2*C7*O3))^2)*(A19^3/(B15+A27))</f>
        <v>0.3481225499848763</v>
      </c>
      <c r="G31" s="645">
        <f>(2*3.142*$O$4^2*$C$8*$D31*K31)/(3*$C$5*$O$6*(L31+$A$27)^2)</f>
        <v>17.37976191274133</v>
      </c>
      <c r="H31" s="650">
        <f>(2*3.142*$C$8*$O$4*D31)/(3*$C$5*$A$27)</f>
        <v>6.948120698664559</v>
      </c>
      <c r="I31" s="284">
        <f>-$C$5*$H$6*$C$7^2/A19^2*(1+($B$30^2*$C$7^2/A19^2)*(A19/(B15)-(O4/O6)*(1-(B30^2*C7^2/2*K31^2)*(2*K31^2/L31^2-1)-A48*O4/O3)*A19*A27*G31/((B15+A27)*B15)+2*O4^2/(O3*O6)*A48*B48*(A19*A27*A44*H31/(B15*(B15+A27)^2))-0.75-E31-F31))</f>
        <v>-8.709313360429251E-13</v>
      </c>
      <c r="J31" s="472">
        <f t="shared" si="17"/>
        <v>105291.52449097822</v>
      </c>
      <c r="K31" s="82">
        <v>5</v>
      </c>
      <c r="L31" s="83">
        <v>0.5</v>
      </c>
      <c r="M31" s="83" t="s">
        <v>7</v>
      </c>
      <c r="N31" s="683" t="str">
        <f t="shared" si="0"/>
        <v>N.P.</v>
      </c>
      <c r="O31" s="144" t="str">
        <f aca="true" t="shared" si="18" ref="O31:O39">IF(AND($BK31-N$79&lt;&gt;2,$BK31-N$79&lt;&gt;-2,OR(L31-O$13=1,$L31-O$13=-1)),IF($K31&lt;&gt;O$12,-($C$5*$C$8/($I$16-$I31))*100000000/$T$10,"N.P."),"N.P.")</f>
        <v>N.P.</v>
      </c>
      <c r="P31" s="153">
        <f aca="true" t="shared" si="19" ref="P31:P39">IF(AND($BK31-O$79&lt;&gt;2,$BK31-O$79&lt;&gt;-2,OR($L31-P$13=1,$L31-P$13=-1)),IF(K31&lt;&gt;P$12,-($C$5*$C$8/($I$17-$I31))*100000000/$T$10,"N.P."),"N.P.")</f>
        <v>4340.500665599762</v>
      </c>
      <c r="Q31" s="154">
        <f aca="true" t="shared" si="20" ref="Q31:Q39">IF(AND($BK31-P$79&lt;&gt;2,$BK31-P$79&lt;&gt;-2,OR($L31-Q$13=1,$L31-Q$13=-1)),IF($K31&lt;&gt;Q$12,-($C$5*$C$8/($I$18-I31))*100000000/$T$10,"N.P."),"N.P.")</f>
        <v>4340.431856692334</v>
      </c>
      <c r="R31" s="159" t="str">
        <f aca="true" t="shared" si="21" ref="R31:R39">IF(AND($BK31-Q$79&lt;&gt;2,$BK31-Q$79&lt;&gt;-2,OR($L31-R$13=1,$L31-R$13=-1)),IF($K31&lt;&gt;R$12,-($C$5*$C$8/($I$19-$I31))*100000000/$Z$10,"N.P."),"N.P.")</f>
        <v>N.P.</v>
      </c>
      <c r="S31" s="153">
        <f aca="true" t="shared" si="22" ref="S31:S39">IF(AND($BK31-R$79&lt;&gt;2,$BK31-R$79&lt;&gt;-2,OR($L31-S$13=1,$L31-S$13=-1)),IF($K31&lt;&gt;S$12,-($C$5*$C$8/($I$20-$I31))*100000000/$Z$10,"N.P."),"N.P.")</f>
        <v>12818.142080471996</v>
      </c>
      <c r="T31" s="153">
        <f aca="true" t="shared" si="23" ref="T31:T39">IF(AND($BK31-S$79&lt;&gt;2,$BK31-S$79&lt;&gt;-2,OR($L31-T$13=1,$L31-T$13=-1)),IF($K31&lt;&gt;T$12,-($C$5*$C$8/($I$21-$I31))*100000000/$Z$10,"N.P."),"N.P.")</f>
        <v>12817.96922115292</v>
      </c>
      <c r="U31" s="85" t="str">
        <f aca="true" t="shared" si="24" ref="U31:U39">IF(AND($BK31-T$79&lt;&gt;2,$BK31-T$79&lt;&gt;-2,OR($L31-U$13=1,$L31-U$13=-1)),IF($K31&lt;&gt;U$12,-($C$5*$C$8/($I$22-$I31))*100000000/$Z$10,"N.P."),"N.P.")</f>
        <v>N.P.</v>
      </c>
      <c r="V31" s="160" t="str">
        <f aca="true" t="shared" si="25" ref="V31:V39">IF(AND($BK31-U$79&lt;&gt;2,$BK31-U$79&lt;&gt;-2,OR($L31-V$13=1,$L31-V$13=-1)),IF($K31&lt;&gt;V$12,-($C$5*$C$8/($I$23-$I31))*100000000/$Z$10,"N.P."),"N.P.")</f>
        <v>N.P.</v>
      </c>
      <c r="W31" s="174" t="str">
        <f aca="true" t="shared" si="26" ref="W31:W39">IF(AND($BK31-V$79&lt;&gt;2,$BK31-V$79&lt;&gt;-2,OR($L31-W$13=1,$L31-W$13=-1)),IF($K31&lt;&gt;W$12,-($C$5*$C$8/($I$24-$I31))*100000000/$AF$10,"N.P."),"N.P.")</f>
        <v>N.P.</v>
      </c>
      <c r="X31" s="182">
        <f aca="true" t="shared" si="27" ref="X31:X39">IF(AND($BK31-W$79&lt;&gt;2,$BK31-W$79&lt;&gt;-2,OR($L31-X$13=1,$L31-X$13=-1)),IF($K31&lt;&gt;X$12,-($C$5*$C$8/($I$25-$I31))*100000000/$AF$10,"N.P."),"N.P.")</f>
        <v>40511.884183193615</v>
      </c>
      <c r="Y31" s="182">
        <f aca="true" t="shared" si="28" ref="Y31:Y39">IF(AND($BK31-X$79&lt;&gt;2,$BK31-X$79&lt;&gt;-2,OR($L31-Y$13=1,$L31-Y$13=-1)),IF($K31&lt;&gt;Y$12,-($C$5*$C$8/($I$26-$I31))*100000000/$AF$10,"N.P."),"N.P.")</f>
        <v>40511.175655401064</v>
      </c>
      <c r="Z31" s="175" t="str">
        <f aca="true" t="shared" si="29" ref="Z31:Z39">IF(AND($BK31-Y$79&lt;&gt;2,$BK31-Y$79&lt;&gt;-2,OR($L31-Z$13=1,$L31-Z$13=-1)),IF($K31&lt;&gt;Z$12,-($C$5*$C$8/($I$27-$I31))*100000000/$AF$10,"N.P."),"N.P.")</f>
        <v>N.P.</v>
      </c>
      <c r="AA31" s="175" t="str">
        <f aca="true" t="shared" si="30" ref="AA31:AA39">IF(AND($BK31-Z$79&lt;&gt;2,$BK31-Z$79&lt;&gt;-2,OR($L31-AA$13=1,$L31-AA$13=-1)),IF($K31&lt;&gt;AA$12,-($C$5*$C$8/($I$28-$I31))*100000000/$AF$10,"N.P."),"N.P.")</f>
        <v>N.P.</v>
      </c>
      <c r="AB31" s="175" t="str">
        <f aca="true" t="shared" si="31" ref="AB31:AB39">IF(AND($BK31-AA$79&lt;&gt;2,$BK31-AA$79&lt;&gt;-2,OR($L31-AB$13=1,$L31-AB$13=-1)),IF($K31&lt;&gt;AB$12,-($C$5*$C$8/($I$29-$I31))*100000000/$AF$10,"N.P."),"N.P.")</f>
        <v>N.P.</v>
      </c>
      <c r="AC31" s="176" t="str">
        <f aca="true" t="shared" si="32" ref="AC31:AC39">IF(AND($BK31-AB$79&lt;&gt;2,$BK31-AB$79&lt;&gt;-2,OR($L31-AC$13=1,$L31-AC$13=-1)),IF($K31&lt;&gt;AC$12,-($C$5*$C$8/($I$30-$I31))*100000000/$AF$10,"N.P."),"N.P.")</f>
        <v>N.P.</v>
      </c>
      <c r="AD31" s="167" t="str">
        <f aca="true" t="shared" si="33" ref="AD31:AD39">IF(AND($BK31-AC$79&lt;&gt;2,$BK31-AC$79&lt;&gt;-2,OR($L31-AD$13=1,$L31-AD$13=-1)),IF($K31&lt;&gt;AD$12,-($C$5*$C$8/($I$31-$I31))*100000000/$Q$10,"N.P."),"N.P.")</f>
        <v>N.P.</v>
      </c>
      <c r="AE31" s="168" t="str">
        <f aca="true" t="shared" si="34" ref="AE31:AE39">IF(AND($BK31-AD$79&lt;&gt;2,$BK31-AD$79&lt;&gt;-2,OR($L31-AE$13=1,$L31-AE$13=-1)),IF($K31&lt;&gt;AE$12,-($C$5*$C$8/($I$32-$I31))*100000000/$Q$10,"N.P."),"N.P.")</f>
        <v>N.P.</v>
      </c>
      <c r="AF31" s="168" t="str">
        <f aca="true" t="shared" si="35" ref="AF31:AF39">IF(AND($BK31-AE$79&lt;&gt;2,$BK31-AE$79&lt;&gt;-2,OR($L31-AF$13=1,$L31-AF$13=-1)),IF($K31&lt;&gt;AF$12,-($C$5*$C$8/($I$33-$I31))*100000000/$Q$10,"N.P."),"N.P.")</f>
        <v>N.P.</v>
      </c>
      <c r="AG31" s="168" t="str">
        <f aca="true" t="shared" si="36" ref="AG31:AG39">IF(AND($BK31-AF$79&lt;&gt;2,$BK31-AF$79&lt;&gt;-2,OR($L31-AG$13=1,$L31-AG$13=-1)),IF($K31&lt;&gt;AG$12,-($C$5*$C$8/($I$34-$I31))*100000000/$Q$10,"N.P."),"N.P.")</f>
        <v>N.P.</v>
      </c>
      <c r="AH31" s="168" t="str">
        <f aca="true" t="shared" si="37" ref="AH31:AH39">IF(AND($BK31-AG$79&lt;&gt;2,$BK31-AG$79&lt;&gt;-2,OR($L31-AH$13=1,$L31-AH$13=-1)),IF($K31&lt;&gt;AH$12,-($C$5*$C$8/($I$35-$I31))*100000000/$Q$10,"N.P."),"N.P.")</f>
        <v>N.P.</v>
      </c>
      <c r="AI31" s="168" t="str">
        <f aca="true" t="shared" si="38" ref="AI31:AI39">IF(AND($BK31-AH$79&lt;&gt;2,$BK31-AH$79&lt;&gt;-2,OR($L31-AI$13=1,$L31-AI$13=-1)),IF($K31&lt;&gt;AI$12,-($C$5*$C$8/($I$36-$I31))*100000000/$Q$10,"N.P."),"N.P.")</f>
        <v>N.P.</v>
      </c>
      <c r="AJ31" s="168" t="str">
        <f aca="true" t="shared" si="39" ref="AJ31:AJ39">IF(AND($BK31-AI$79&lt;&gt;2,$BK31-AI$79&lt;&gt;-2,OR($L31-AJ$13=1,$L31-AJ$13=-1)),IF($K31&lt;&gt;AJ$12,-($C$5*$C$8/($I$37-$I31))*100000000/$Q$10,"N.P."),"N.P.")</f>
        <v>N.P.</v>
      </c>
      <c r="AK31" s="168" t="str">
        <f aca="true" t="shared" si="40" ref="AK31:AK39">IF(AND($BK31-AJ$79&lt;&gt;2,$BK31-AJ$79&lt;&gt;-2,OR($L31-AK$13=1,$L31-AK$13=-1)),IF($K31&lt;&gt;AK$12,-($C$5*$C$8/($I$38-$I31))*100000000/$Q$10,"N.P."),"N.P.")</f>
        <v>N.P.</v>
      </c>
      <c r="AL31" s="169" t="str">
        <f aca="true" t="shared" si="41" ref="AL31:AL39">IF(AND($BK31-AK$79&lt;&gt;2,$BK31-AK$79&lt;&gt;-2,OR($L31-AL$13=1,$L31-AL$13=-1)),IF($K31&lt;&gt;AL$12,-($C$5*$C$8/($I$39-$I31))*100000000/$Q$10,"N.P."),"N.P.")</f>
        <v>N.P.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1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20">
        <v>1</v>
      </c>
    </row>
    <row r="32" spans="1:63" ht="12.75">
      <c r="A32" s="98"/>
      <c r="B32" s="99"/>
      <c r="C32" s="699">
        <f>J32-J31</f>
        <v>0.01963963423622772</v>
      </c>
      <c r="D32" s="378">
        <v>1.279E-09</v>
      </c>
      <c r="E32" s="157">
        <f>(((3.1415926535*(5/3)^(1/2)*O4*D32*C8)/C5)^2*A19)/(B16+A27)^3</f>
        <v>285.678098121127</v>
      </c>
      <c r="F32" s="385">
        <f>(((C5*C8*O4)/(8^(1/2)*3.1415926535*C10^2*C7*O3))^2)*(A19^3/(B16+A27))</f>
        <v>0.17406127499243815</v>
      </c>
      <c r="G32" s="645">
        <f>(2*3.142*$O$4^2*$C$8*$D32*K32)/(3*$C$5*$O$6*(L32+$A$27)^2)</f>
        <v>13.809743474563357</v>
      </c>
      <c r="H32" s="650">
        <f>(2*3.142*$C$8*$O$4*D32)/(3*$C$5*$A$27)</f>
        <v>22.083562470097593</v>
      </c>
      <c r="I32" s="284">
        <f>-$C$5*$H$6*$C$7^2/A19^2*(1+($B$30^2*$C$7^2/A19^2)*(A19/(B16)-(O4/O6)*(1-(B30^2*C7^2/2*K32^2)*(2*K32^2/L32^2-1)-A48*O4/O3)*A19*A27*G32/((B16+A27)*B16)+2*O4^2/(O3*O6)*A48*B48*(A19*A27*A44*H32/(B16*(B16+A27)^2))-0.75-E32-F32))</f>
        <v>-8.709274347328036E-13</v>
      </c>
      <c r="J32" s="472">
        <f t="shared" si="17"/>
        <v>105291.54413061246</v>
      </c>
      <c r="K32" s="82">
        <v>5</v>
      </c>
      <c r="L32" s="83">
        <v>1.5</v>
      </c>
      <c r="M32" s="83" t="s">
        <v>8</v>
      </c>
      <c r="N32" s="684">
        <f t="shared" si="0"/>
        <v>949.7430029801991</v>
      </c>
      <c r="O32" s="158">
        <f t="shared" si="18"/>
        <v>4340.434804719853</v>
      </c>
      <c r="P32" s="145" t="str">
        <f t="shared" si="19"/>
        <v>N.P.</v>
      </c>
      <c r="Q32" s="146" t="str">
        <f t="shared" si="20"/>
        <v>N.P.</v>
      </c>
      <c r="R32" s="158">
        <f t="shared" si="21"/>
        <v>12817.954239908215</v>
      </c>
      <c r="S32" s="85" t="str">
        <f t="shared" si="22"/>
        <v>N.P.</v>
      </c>
      <c r="T32" s="85" t="str">
        <f t="shared" si="23"/>
        <v>N.P.</v>
      </c>
      <c r="U32" s="172">
        <f t="shared" si="24"/>
        <v>12818.173147131898</v>
      </c>
      <c r="V32" s="173">
        <f t="shared" si="25"/>
        <v>12818.114454652872</v>
      </c>
      <c r="W32" s="183">
        <f t="shared" si="26"/>
        <v>40510.92513743506</v>
      </c>
      <c r="X32" s="175" t="str">
        <f t="shared" si="27"/>
        <v>N.P.</v>
      </c>
      <c r="Y32" s="175" t="str">
        <f t="shared" si="28"/>
        <v>N.P.</v>
      </c>
      <c r="Z32" s="184">
        <f t="shared" si="29"/>
        <v>40511.91111510023</v>
      </c>
      <c r="AA32" s="184">
        <f t="shared" si="30"/>
        <v>40511.66406551411</v>
      </c>
      <c r="AB32" s="175" t="str">
        <f t="shared" si="31"/>
        <v>N.P.</v>
      </c>
      <c r="AC32" s="176" t="str">
        <f t="shared" si="32"/>
        <v>N.P.</v>
      </c>
      <c r="AD32" s="174" t="str">
        <f t="shared" si="33"/>
        <v>N.P.</v>
      </c>
      <c r="AE32" s="175" t="str">
        <f t="shared" si="34"/>
        <v>N.P.</v>
      </c>
      <c r="AF32" s="175" t="str">
        <f t="shared" si="35"/>
        <v>N.P.</v>
      </c>
      <c r="AG32" s="175" t="str">
        <f t="shared" si="36"/>
        <v>N.P.</v>
      </c>
      <c r="AH32" s="175" t="str">
        <f t="shared" si="37"/>
        <v>N.P.</v>
      </c>
      <c r="AI32" s="175" t="str">
        <f t="shared" si="38"/>
        <v>N.P.</v>
      </c>
      <c r="AJ32" s="175" t="str">
        <f t="shared" si="39"/>
        <v>N.P.</v>
      </c>
      <c r="AK32" s="175" t="str">
        <f t="shared" si="40"/>
        <v>N.P.</v>
      </c>
      <c r="AL32" s="176" t="str">
        <f t="shared" si="41"/>
        <v>N.P.</v>
      </c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1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20">
        <v>2</v>
      </c>
    </row>
    <row r="33" spans="1:63" ht="12.75">
      <c r="A33" s="711" t="s">
        <v>39</v>
      </c>
      <c r="B33" s="706"/>
      <c r="C33" s="699"/>
      <c r="D33" s="378">
        <v>4.851E-10</v>
      </c>
      <c r="E33" s="157">
        <f>(((3.1415926535*(5/3)^(1/2)*O4*D33*C8)/C5)^2*A19)/(B16+A28)^3</f>
        <v>328.7671320762388</v>
      </c>
      <c r="F33" s="385">
        <f>(((C5*C8*O4)/(8^(1/2)*3.1415926535*C10^2*C7*O3))^2)*(A19^3/(B16+A28))</f>
        <v>0.3481225499848763</v>
      </c>
      <c r="G33" s="645">
        <f>(2*3.142*$O$4^2*$C$8*$D33*K33)/(3*$C$5*$O$6*(L33+$A$28)^2)</f>
        <v>20.951076026616683</v>
      </c>
      <c r="H33" s="650">
        <f aca="true" t="shared" si="42" ref="H33:H39">(2*3.142*$C$8*$O$4*D33)/(3*$C$5*$A$28)</f>
        <v>-8.375868767978377</v>
      </c>
      <c r="I33" s="284">
        <f>-$C$5*$H$6*$C$7^2/A19^2*(1+($B$30^2*$C$7^2/A19^2)*(A19/(B16)-(O4/O6)*(1-(B30^2*C7^2/2*K33^2)*(2*K33^2/L33^2-1)-A48*O4/O3)*A19*A28*G33/((B16+A28)*B16)+2*O4^2/(O3*O6)*A48*B48*(A19*A28*A45*H33/(B16*(B16+A28)^2))-0.75-E33-F33))</f>
        <v>-8.709317852619244E-13</v>
      </c>
      <c r="J33" s="472">
        <f t="shared" si="17"/>
        <v>105291.52222955922</v>
      </c>
      <c r="K33" s="82">
        <v>5</v>
      </c>
      <c r="L33" s="83">
        <v>1.5</v>
      </c>
      <c r="M33" s="83" t="s">
        <v>9</v>
      </c>
      <c r="N33" s="684">
        <f t="shared" si="0"/>
        <v>949.7432005305014</v>
      </c>
      <c r="O33" s="158">
        <f t="shared" si="18"/>
        <v>4340.438931908998</v>
      </c>
      <c r="P33" s="145" t="str">
        <f t="shared" si="19"/>
        <v>N.P.</v>
      </c>
      <c r="Q33" s="146" t="str">
        <f t="shared" si="20"/>
        <v>N.P.</v>
      </c>
      <c r="R33" s="158">
        <f t="shared" si="21"/>
        <v>12817.990233305181</v>
      </c>
      <c r="S33" s="85" t="str">
        <f t="shared" si="22"/>
        <v>N.P.</v>
      </c>
      <c r="T33" s="85" t="str">
        <f t="shared" si="23"/>
        <v>N.P.</v>
      </c>
      <c r="U33" s="85" t="str">
        <f t="shared" si="24"/>
        <v>N.P.</v>
      </c>
      <c r="V33" s="173">
        <f t="shared" si="25"/>
        <v>12818.150448949624</v>
      </c>
      <c r="W33" s="183">
        <f t="shared" si="26"/>
        <v>40511.28466483365</v>
      </c>
      <c r="X33" s="175" t="str">
        <f t="shared" si="27"/>
        <v>N.P.</v>
      </c>
      <c r="Y33" s="175" t="str">
        <f t="shared" si="28"/>
        <v>N.P.</v>
      </c>
      <c r="Z33" s="175" t="str">
        <f t="shared" si="29"/>
        <v>N.P.</v>
      </c>
      <c r="AA33" s="184">
        <f t="shared" si="30"/>
        <v>40512.0236060286</v>
      </c>
      <c r="AB33" s="175" t="str">
        <f t="shared" si="31"/>
        <v>N.P.</v>
      </c>
      <c r="AC33" s="176" t="str">
        <f t="shared" si="32"/>
        <v>N.P.</v>
      </c>
      <c r="AD33" s="174" t="str">
        <f t="shared" si="33"/>
        <v>N.P.</v>
      </c>
      <c r="AE33" s="175" t="str">
        <f t="shared" si="34"/>
        <v>N.P.</v>
      </c>
      <c r="AF33" s="175" t="str">
        <f t="shared" si="35"/>
        <v>N.P.</v>
      </c>
      <c r="AG33" s="175" t="str">
        <f t="shared" si="36"/>
        <v>N.P.</v>
      </c>
      <c r="AH33" s="175" t="str">
        <f t="shared" si="37"/>
        <v>N.P.</v>
      </c>
      <c r="AI33" s="175" t="str">
        <f t="shared" si="38"/>
        <v>N.P.</v>
      </c>
      <c r="AJ33" s="175" t="str">
        <f t="shared" si="39"/>
        <v>N.P.</v>
      </c>
      <c r="AK33" s="175" t="str">
        <f t="shared" si="40"/>
        <v>N.P.</v>
      </c>
      <c r="AL33" s="176" t="str">
        <f t="shared" si="41"/>
        <v>N.P.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20">
        <v>1</v>
      </c>
    </row>
    <row r="34" spans="1:63" ht="12.75">
      <c r="A34" s="100" t="s">
        <v>40</v>
      </c>
      <c r="B34" s="466">
        <v>10937.995</v>
      </c>
      <c r="C34" s="699">
        <f>J34-J35</f>
        <v>0.008122379033011384</v>
      </c>
      <c r="D34" s="378">
        <v>2.381E-09</v>
      </c>
      <c r="E34" s="157">
        <f>(((3.1415926535*(5/3)^(1/2)*O4*D34*C8)/C5)^2*A19)/(B17+A27)^3</f>
        <v>293.3464727833783</v>
      </c>
      <c r="F34" s="385">
        <f>(((C5*C8*O4)/(8^(1/2)*3.1415926535*C10^2*C7*O3))^2)*(A19^3/(B17+A27))</f>
        <v>0.11604084999495876</v>
      </c>
      <c r="G34" s="645">
        <f>(2*3.142*$O$4^2*$C$8*$D34*K34)/(3*$C$5*$O$6*(L34+$A$27)^2)</f>
        <v>11.425940131330153</v>
      </c>
      <c r="H34" s="650">
        <f>(2*3.142*$C$8*$O$4*D34)/(3*$C$5*$A$27)</f>
        <v>41.110994715639066</v>
      </c>
      <c r="I34" s="284">
        <f>-$C$5*$H$6*$C$7^2/A19^2*(1+($B$30^2*$C$7^2/A19^2)*(A19/(B17)-(O4/O6)*(1-(B30^2*C7^2/2*K34^2)*(2*K34^2/L34^2-1)-A48*O4/O3)*A19*A27*G34/((B17+A27)*B17)+2*O4^2/(O3*O6)*A48*B48*(A19*A27*A44*H34/(B17*(B17+A27)^2))-0.75-E34-F34))</f>
        <v>-8.709247982561296E-13</v>
      </c>
      <c r="J34" s="472">
        <f t="shared" si="17"/>
        <v>105291.55740293277</v>
      </c>
      <c r="K34" s="82">
        <v>5</v>
      </c>
      <c r="L34" s="83">
        <v>2.5</v>
      </c>
      <c r="M34" s="83" t="s">
        <v>10</v>
      </c>
      <c r="N34" s="683" t="str">
        <f t="shared" si="0"/>
        <v>N.P.</v>
      </c>
      <c r="O34" s="144" t="str">
        <f t="shared" si="18"/>
        <v>N.P.</v>
      </c>
      <c r="P34" s="153">
        <f t="shared" si="19"/>
        <v>4340.49446326515</v>
      </c>
      <c r="Q34" s="146" t="str">
        <f t="shared" si="20"/>
        <v>N.P.</v>
      </c>
      <c r="R34" s="159" t="str">
        <f t="shared" si="21"/>
        <v>N.P.</v>
      </c>
      <c r="S34" s="172">
        <f t="shared" si="22"/>
        <v>12818.087989948295</v>
      </c>
      <c r="T34" s="85" t="str">
        <f t="shared" si="23"/>
        <v>N.P.</v>
      </c>
      <c r="U34" s="85" t="str">
        <f t="shared" si="24"/>
        <v>N.P.</v>
      </c>
      <c r="V34" s="160" t="str">
        <f t="shared" si="25"/>
        <v>N.P.</v>
      </c>
      <c r="W34" s="174" t="str">
        <f t="shared" si="26"/>
        <v>N.P.</v>
      </c>
      <c r="X34" s="184">
        <f t="shared" si="27"/>
        <v>40511.3438874053</v>
      </c>
      <c r="Y34" s="175" t="str">
        <f t="shared" si="28"/>
        <v>N.P.</v>
      </c>
      <c r="Z34" s="175" t="str">
        <f t="shared" si="29"/>
        <v>N.P.</v>
      </c>
      <c r="AA34" s="175" t="str">
        <f t="shared" si="30"/>
        <v>N.P.</v>
      </c>
      <c r="AB34" s="184">
        <f t="shared" si="31"/>
        <v>40511.825663678625</v>
      </c>
      <c r="AC34" s="185">
        <f t="shared" si="32"/>
        <v>40511.690886894416</v>
      </c>
      <c r="AD34" s="174" t="str">
        <f t="shared" si="33"/>
        <v>N.P.</v>
      </c>
      <c r="AE34" s="175" t="str">
        <f t="shared" si="34"/>
        <v>N.P.</v>
      </c>
      <c r="AF34" s="175" t="str">
        <f t="shared" si="35"/>
        <v>N.P.</v>
      </c>
      <c r="AG34" s="175" t="str">
        <f t="shared" si="36"/>
        <v>N.P.</v>
      </c>
      <c r="AH34" s="175" t="str">
        <f t="shared" si="37"/>
        <v>N.P.</v>
      </c>
      <c r="AI34" s="175" t="str">
        <f t="shared" si="38"/>
        <v>N.P.</v>
      </c>
      <c r="AJ34" s="175" t="str">
        <f t="shared" si="39"/>
        <v>N.P.</v>
      </c>
      <c r="AK34" s="175" t="str">
        <f t="shared" si="40"/>
        <v>N.P.</v>
      </c>
      <c r="AL34" s="176" t="str">
        <f t="shared" si="41"/>
        <v>N.P.</v>
      </c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1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20">
        <v>3</v>
      </c>
    </row>
    <row r="35" spans="1:63" ht="12.75">
      <c r="A35" s="100" t="s">
        <v>41</v>
      </c>
      <c r="B35" s="467">
        <f>C9/B34</f>
        <v>9142.44338199094</v>
      </c>
      <c r="C35" s="699"/>
      <c r="D35" s="378">
        <v>1.3177E-09</v>
      </c>
      <c r="E35" s="157">
        <f>(((3.1415926535*(5/3)^(1/2)*O4*D35*C8)/C5)^2*A19)/(B17+A28)^3</f>
        <v>303.2277537924525</v>
      </c>
      <c r="F35" s="385">
        <f>(((C5*C8*O4)/(8^(1/2)*3.1415926535*C10^2*C7*O3))^2)*(A19^3/(B17+A28))</f>
        <v>0.17406127499243815</v>
      </c>
      <c r="G35" s="645">
        <f>(2*3.142*$O$4^2*$C$8*$D35*K35)/(3*$C$5*$O$6*(L35+$A$28)^2)</f>
        <v>14.227598886968048</v>
      </c>
      <c r="H35" s="650">
        <f t="shared" si="42"/>
        <v>-22.751767214110707</v>
      </c>
      <c r="I35" s="284">
        <f>-$C$5*$H$6*$C$7^2/A19^2*(1+($B$30^2*$C$7^2/A19^2)*(A19/(B17)-(O4/O6)*(1-(B30^2*C7^2/2*K35^2)*(2*K35^2/L35^2-1)-A48*O4/O3)*A19*A28*G35/((B17+A28)*B17)+2*O4^2/(O3*O6)*A48*B48*(A19*A28*A45*H35/(B17*(B17+A28)^2))-0.75-E35-F35))</f>
        <v>-8.709264117240353E-13</v>
      </c>
      <c r="J35" s="472">
        <f t="shared" si="17"/>
        <v>105291.54928055374</v>
      </c>
      <c r="K35" s="82">
        <v>5</v>
      </c>
      <c r="L35" s="83">
        <v>2.5</v>
      </c>
      <c r="M35" s="83" t="s">
        <v>11</v>
      </c>
      <c r="N35" s="683" t="str">
        <f t="shared" si="0"/>
        <v>N.P.</v>
      </c>
      <c r="O35" s="144" t="str">
        <f t="shared" si="18"/>
        <v>N.P.</v>
      </c>
      <c r="P35" s="172">
        <f t="shared" si="19"/>
        <v>4340.49599394478</v>
      </c>
      <c r="Q35" s="154">
        <f t="shared" si="20"/>
        <v>4340.427185185467</v>
      </c>
      <c r="R35" s="159" t="str">
        <f t="shared" si="21"/>
        <v>N.P.</v>
      </c>
      <c r="S35" s="172">
        <f t="shared" si="22"/>
        <v>12818.101338968281</v>
      </c>
      <c r="T35" s="172">
        <f t="shared" si="23"/>
        <v>12817.928480748036</v>
      </c>
      <c r="U35" s="85" t="str">
        <f t="shared" si="24"/>
        <v>N.P.</v>
      </c>
      <c r="V35" s="160" t="str">
        <f t="shared" si="25"/>
        <v>N.P.</v>
      </c>
      <c r="W35" s="174" t="str">
        <f t="shared" si="26"/>
        <v>N.P.</v>
      </c>
      <c r="X35" s="184">
        <f t="shared" si="27"/>
        <v>40511.47722628347</v>
      </c>
      <c r="Y35" s="184">
        <f t="shared" si="28"/>
        <v>40510.76871272557</v>
      </c>
      <c r="Z35" s="175" t="str">
        <f t="shared" si="29"/>
        <v>N.P.</v>
      </c>
      <c r="AA35" s="175" t="str">
        <f t="shared" si="30"/>
        <v>N.P.</v>
      </c>
      <c r="AB35" s="175" t="str">
        <f t="shared" si="31"/>
        <v>N.P.</v>
      </c>
      <c r="AC35" s="185">
        <f t="shared" si="32"/>
        <v>40511.824228056816</v>
      </c>
      <c r="AD35" s="174" t="str">
        <f t="shared" si="33"/>
        <v>N.P.</v>
      </c>
      <c r="AE35" s="175" t="str">
        <f t="shared" si="34"/>
        <v>N.P.</v>
      </c>
      <c r="AF35" s="175" t="str">
        <f t="shared" si="35"/>
        <v>N.P.</v>
      </c>
      <c r="AG35" s="175" t="str">
        <f t="shared" si="36"/>
        <v>N.P.</v>
      </c>
      <c r="AH35" s="175" t="str">
        <f t="shared" si="37"/>
        <v>N.P.</v>
      </c>
      <c r="AI35" s="175" t="str">
        <f t="shared" si="38"/>
        <v>N.P.</v>
      </c>
      <c r="AJ35" s="175" t="str">
        <f t="shared" si="39"/>
        <v>N.P.</v>
      </c>
      <c r="AK35" s="175" t="str">
        <f t="shared" si="40"/>
        <v>N.P.</v>
      </c>
      <c r="AL35" s="176" t="str">
        <f t="shared" si="41"/>
        <v>N.P.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1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20">
        <v>2</v>
      </c>
    </row>
    <row r="36" spans="1:63" ht="12.75">
      <c r="A36" s="56"/>
      <c r="B36" s="56"/>
      <c r="C36" s="699">
        <f>J36-J37</f>
        <v>0.004154861264396459</v>
      </c>
      <c r="D36" s="378">
        <v>3.6779E-09</v>
      </c>
      <c r="E36" s="157">
        <f>(((3.1415926535*(5/3)^(1/2)*O4*D36*C8)/C5)^2*A19)/(B18+A27)^3</f>
        <v>295.2879356208368</v>
      </c>
      <c r="F36" s="385">
        <f>(((C5*C8*O4)/(8^(1/2)*3.1415926535*C10^2*C7*O3))^2)*(A19^3/(B18+A27))</f>
        <v>0.08703063749621907</v>
      </c>
      <c r="G36" s="645">
        <f>(2*3.142*$O$4^2*$C$8*$D36*K36)/(3*$C$5*$O$6*(L36+$A$27)^2)</f>
        <v>9.927845098728806</v>
      </c>
      <c r="H36" s="650">
        <f>(2*3.142*$C$8*$O$4*D36)/(3*$C$5*$A$27)</f>
        <v>63.503623462683294</v>
      </c>
      <c r="I36" s="284">
        <f>-$C$5*$H$6*$C$7^2/A19^2*(1+($B$30^2*$C$7^2/A19^2)*(A19/(B18)-(O4/O6)*(1-(B30^2*C7^2/2*K36^2)*(2*K36^2/L36^2-1)-A48*O4/O3)*A19*A27*G36/((B18+A27)*B18)+2*O4^2/(O3*O6)*A48*B48*(A19*A27*A44*H36/(B18*(B18+A27)^2))-0.75-E36-F36))</f>
        <v>-8.70923920198875E-13</v>
      </c>
      <c r="J36" s="472">
        <f t="shared" si="17"/>
        <v>105291.56182317181</v>
      </c>
      <c r="K36" s="82">
        <v>5</v>
      </c>
      <c r="L36" s="83">
        <v>3.5</v>
      </c>
      <c r="M36" s="83" t="s">
        <v>12</v>
      </c>
      <c r="N36" s="683" t="str">
        <f t="shared" si="0"/>
        <v>N.P.</v>
      </c>
      <c r="O36" s="144" t="str">
        <f t="shared" si="18"/>
        <v>N.P.</v>
      </c>
      <c r="P36" s="145" t="str">
        <f t="shared" si="19"/>
        <v>N.P.</v>
      </c>
      <c r="Q36" s="146" t="str">
        <f t="shared" si="20"/>
        <v>N.P.</v>
      </c>
      <c r="R36" s="159" t="str">
        <f t="shared" si="21"/>
        <v>N.P.</v>
      </c>
      <c r="S36" s="85" t="str">
        <f t="shared" si="22"/>
        <v>N.P.</v>
      </c>
      <c r="T36" s="85" t="str">
        <f t="shared" si="23"/>
        <v>N.P.</v>
      </c>
      <c r="U36" s="153">
        <f t="shared" si="24"/>
        <v>12818.14406935999</v>
      </c>
      <c r="V36" s="160" t="str">
        <f t="shared" si="25"/>
        <v>N.P.</v>
      </c>
      <c r="W36" s="174" t="str">
        <f t="shared" si="26"/>
        <v>N.P.</v>
      </c>
      <c r="X36" s="175" t="str">
        <f t="shared" si="27"/>
        <v>N.P.</v>
      </c>
      <c r="Y36" s="175" t="str">
        <f t="shared" si="28"/>
        <v>N.P.</v>
      </c>
      <c r="Z36" s="184">
        <f t="shared" si="29"/>
        <v>40511.62066480342</v>
      </c>
      <c r="AA36" s="175" t="str">
        <f t="shared" si="30"/>
        <v>N.P.</v>
      </c>
      <c r="AB36" s="175" t="str">
        <f t="shared" si="31"/>
        <v>N.P.</v>
      </c>
      <c r="AC36" s="176" t="str">
        <f t="shared" si="32"/>
        <v>N.P.</v>
      </c>
      <c r="AD36" s="174" t="str">
        <f t="shared" si="33"/>
        <v>N.P.</v>
      </c>
      <c r="AE36" s="175" t="str">
        <f t="shared" si="34"/>
        <v>N.P.</v>
      </c>
      <c r="AF36" s="175" t="str">
        <f t="shared" si="35"/>
        <v>N.P.</v>
      </c>
      <c r="AG36" s="175" t="str">
        <f t="shared" si="36"/>
        <v>N.P.</v>
      </c>
      <c r="AH36" s="175" t="str">
        <f t="shared" si="37"/>
        <v>N.P.</v>
      </c>
      <c r="AI36" s="175" t="str">
        <f t="shared" si="38"/>
        <v>N.P.</v>
      </c>
      <c r="AJ36" s="175" t="str">
        <f t="shared" si="39"/>
        <v>N.P.</v>
      </c>
      <c r="AK36" s="175" t="str">
        <f t="shared" si="40"/>
        <v>N.P.</v>
      </c>
      <c r="AL36" s="176" t="str">
        <f t="shared" si="41"/>
        <v>N.P.</v>
      </c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1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20">
        <v>4</v>
      </c>
    </row>
    <row r="37" spans="1:63" ht="12.75">
      <c r="A37" s="711" t="s">
        <v>42</v>
      </c>
      <c r="B37" s="706"/>
      <c r="C37" s="699"/>
      <c r="D37" s="378">
        <v>2.405E-09</v>
      </c>
      <c r="E37" s="157">
        <f>(((3.1415926535*(5/3)^(1/2)*O4*D37*C8)/C5)^2*A19)/(B18+A28)^3</f>
        <v>299.2900240866118</v>
      </c>
      <c r="F37" s="385">
        <f>(((C5*C8*O4)/(8^(1/2)*3.1415926535*C10^2*C7*O3))^2)*(A19^3/(B18+A28))</f>
        <v>0.11604084999495876</v>
      </c>
      <c r="G37" s="645">
        <f>(2*3.142*$O$4^2*$C$8*$D37*K37)/(3*$C$5*$O$6*(L37+$A$28)^2)</f>
        <v>11.5411113044305</v>
      </c>
      <c r="H37" s="650">
        <f t="shared" si="42"/>
        <v>-41.525385254561925</v>
      </c>
      <c r="I37" s="284">
        <f>-$C$5*$H$6*$C$7^2/A19^2*(1+($B$30^2*$C$7^2/A19^2)*(A19/(B18)-(O4/O6)*(1-(B30^2*C7^2/2*K37^2)*(2*K37^2/L37^2-1)-A48*O4/O3)*A19*A28*G37/((B18+A28)*B18)+2*O4^2/(O3*O6)*A48*B48*(A19*A28*A45*H37/(B18*(B18+A28)^2))-0.75-E37-F37))</f>
        <v>-8.709247455402291E-13</v>
      </c>
      <c r="J37" s="472">
        <f t="shared" si="17"/>
        <v>105291.55766831055</v>
      </c>
      <c r="K37" s="82">
        <v>5</v>
      </c>
      <c r="L37" s="83">
        <v>3.5</v>
      </c>
      <c r="M37" s="83" t="s">
        <v>13</v>
      </c>
      <c r="N37" s="683" t="str">
        <f t="shared" si="0"/>
        <v>N.P.</v>
      </c>
      <c r="O37" s="144" t="str">
        <f t="shared" si="18"/>
        <v>N.P.</v>
      </c>
      <c r="P37" s="145" t="str">
        <f t="shared" si="19"/>
        <v>N.P.</v>
      </c>
      <c r="Q37" s="146" t="str">
        <f t="shared" si="20"/>
        <v>N.P.</v>
      </c>
      <c r="R37" s="159" t="str">
        <f t="shared" si="21"/>
        <v>N.P.</v>
      </c>
      <c r="S37" s="85" t="str">
        <f t="shared" si="22"/>
        <v>N.P.</v>
      </c>
      <c r="T37" s="85" t="str">
        <f t="shared" si="23"/>
        <v>N.P.</v>
      </c>
      <c r="U37" s="172">
        <f t="shared" si="24"/>
        <v>12818.150897874515</v>
      </c>
      <c r="V37" s="154">
        <f t="shared" si="25"/>
        <v>12818.092205599241</v>
      </c>
      <c r="W37" s="174" t="str">
        <f t="shared" si="26"/>
        <v>N.P.</v>
      </c>
      <c r="X37" s="175" t="str">
        <f t="shared" si="27"/>
        <v>N.P.</v>
      </c>
      <c r="Y37" s="175" t="str">
        <f t="shared" si="28"/>
        <v>N.P.</v>
      </c>
      <c r="Z37" s="184">
        <f t="shared" si="29"/>
        <v>40511.688872802275</v>
      </c>
      <c r="AA37" s="184">
        <f t="shared" si="30"/>
        <v>40511.44182592668</v>
      </c>
      <c r="AB37" s="175" t="str">
        <f t="shared" si="31"/>
        <v>N.P.</v>
      </c>
      <c r="AC37" s="176" t="str">
        <f t="shared" si="32"/>
        <v>N.P.</v>
      </c>
      <c r="AD37" s="174" t="str">
        <f t="shared" si="33"/>
        <v>N.P.</v>
      </c>
      <c r="AE37" s="175" t="str">
        <f t="shared" si="34"/>
        <v>N.P.</v>
      </c>
      <c r="AF37" s="175" t="str">
        <f t="shared" si="35"/>
        <v>N.P.</v>
      </c>
      <c r="AG37" s="175" t="str">
        <f t="shared" si="36"/>
        <v>N.P.</v>
      </c>
      <c r="AH37" s="175" t="str">
        <f t="shared" si="37"/>
        <v>N.P.</v>
      </c>
      <c r="AI37" s="175" t="str">
        <f t="shared" si="38"/>
        <v>N.P.</v>
      </c>
      <c r="AJ37" s="175" t="str">
        <f t="shared" si="39"/>
        <v>N.P.</v>
      </c>
      <c r="AK37" s="175" t="str">
        <f t="shared" si="40"/>
        <v>N.P.</v>
      </c>
      <c r="AL37" s="176" t="str">
        <f t="shared" si="41"/>
        <v>N.P.</v>
      </c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1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20">
        <v>3</v>
      </c>
    </row>
    <row r="38" spans="1:63" ht="12.75">
      <c r="A38" s="80" t="s">
        <v>41</v>
      </c>
      <c r="B38" s="58">
        <v>12821.4874</v>
      </c>
      <c r="C38" s="699">
        <f>J38-J39</f>
        <v>0.0024739057989791036</v>
      </c>
      <c r="D38" s="378">
        <v>5.146E-09</v>
      </c>
      <c r="E38" s="157">
        <f>(((3.1415926535*(5/3)^(1/2)*O4*D38*C8)/C5)^2*A19)/(B19+A27)^3</f>
        <v>295.97524906147515</v>
      </c>
      <c r="F38" s="385">
        <f>(((C5*C8*O4)/(8^(1/2)*3.1415926535*C10^2*C7*O3))^2)*(A19^3/(B19+A27))</f>
        <v>0.06962450999697525</v>
      </c>
      <c r="G38" s="645">
        <f>(2*3.142*$O$4^2*$C$8*$D38*K38)/(3*$C$5*$O$6*(L38+$A$27)^2)</f>
        <v>8.890062851615705</v>
      </c>
      <c r="H38" s="650">
        <f>(2*3.142*$C$8*$O$4*D38)/(3*$C$5*$A$27)</f>
        <v>88.85223805404395</v>
      </c>
      <c r="I38" s="284">
        <f>-$C$5*$H$6*$C$7^2/A19^2*(1+($B$30^2*$C$7^2/A19^2)*(A19/(B19)-(O4/O6)*(1-(B30^2*C7^2/2*K38^2)*(2*K38^2/L38^2-1)-A48*O4/O3)*A19*A27*G38/((B19+A27)*B19)+2*O4^2/(O3*O6)*A48*B48*(A19*A27*A44*H38/(B19*(B19+A27)^2))-0.75-E38-F38))</f>
        <v>-8.709235300904788E-13</v>
      </c>
      <c r="J38" s="472">
        <f>((I38-$I$15)*624150636300)*8065.541</f>
        <v>105291.56378702138</v>
      </c>
      <c r="K38" s="82">
        <v>5</v>
      </c>
      <c r="L38" s="83">
        <v>4.5</v>
      </c>
      <c r="M38" s="83" t="s">
        <v>14</v>
      </c>
      <c r="N38" s="683" t="str">
        <f t="shared" si="0"/>
        <v>N.P.</v>
      </c>
      <c r="O38" s="144" t="str">
        <f t="shared" si="18"/>
        <v>N.P.</v>
      </c>
      <c r="P38" s="145" t="str">
        <f t="shared" si="19"/>
        <v>N.P.</v>
      </c>
      <c r="Q38" s="146" t="str">
        <f t="shared" si="20"/>
        <v>N.P.</v>
      </c>
      <c r="R38" s="159" t="str">
        <f t="shared" si="21"/>
        <v>N.P.</v>
      </c>
      <c r="S38" s="85" t="str">
        <f t="shared" si="22"/>
        <v>N.P.</v>
      </c>
      <c r="T38" s="85" t="str">
        <f t="shared" si="23"/>
        <v>N.P.</v>
      </c>
      <c r="U38" s="85" t="str">
        <f t="shared" si="24"/>
        <v>N.P.</v>
      </c>
      <c r="V38" s="160" t="str">
        <f t="shared" si="25"/>
        <v>N.P.</v>
      </c>
      <c r="W38" s="174" t="str">
        <f t="shared" si="26"/>
        <v>N.P.</v>
      </c>
      <c r="X38" s="175" t="str">
        <f t="shared" si="27"/>
        <v>N.P.</v>
      </c>
      <c r="Y38" s="175" t="str">
        <f t="shared" si="28"/>
        <v>N.P.</v>
      </c>
      <c r="Z38" s="175" t="str">
        <f t="shared" si="29"/>
        <v>N.P.</v>
      </c>
      <c r="AA38" s="175" t="str">
        <f t="shared" si="30"/>
        <v>N.P.</v>
      </c>
      <c r="AB38" s="182">
        <f t="shared" si="31"/>
        <v>40511.72085910675</v>
      </c>
      <c r="AC38" s="176" t="str">
        <f t="shared" si="32"/>
        <v>N.P.</v>
      </c>
      <c r="AD38" s="174" t="str">
        <f t="shared" si="33"/>
        <v>N.P.</v>
      </c>
      <c r="AE38" s="175" t="str">
        <f t="shared" si="34"/>
        <v>N.P.</v>
      </c>
      <c r="AF38" s="175" t="str">
        <f t="shared" si="35"/>
        <v>N.P.</v>
      </c>
      <c r="AG38" s="175" t="str">
        <f t="shared" si="36"/>
        <v>N.P.</v>
      </c>
      <c r="AH38" s="175" t="str">
        <f t="shared" si="37"/>
        <v>N.P.</v>
      </c>
      <c r="AI38" s="175" t="str">
        <f t="shared" si="38"/>
        <v>N.P.</v>
      </c>
      <c r="AJ38" s="175" t="str">
        <f t="shared" si="39"/>
        <v>N.P.</v>
      </c>
      <c r="AK38" s="175" t="str">
        <f t="shared" si="40"/>
        <v>N.P.</v>
      </c>
      <c r="AL38" s="176" t="str">
        <f t="shared" si="41"/>
        <v>N.P.</v>
      </c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20">
        <v>5</v>
      </c>
    </row>
    <row r="39" spans="1:63" ht="12.75">
      <c r="A39" s="96" t="s">
        <v>40</v>
      </c>
      <c r="B39" s="655">
        <f>C9/B38</f>
        <v>7799.407110909769</v>
      </c>
      <c r="C39" s="700"/>
      <c r="D39" s="378">
        <v>3.695E-09</v>
      </c>
      <c r="E39" s="161">
        <f>(((3.1415926535*(5/3)^(1/2)*O4*D39*C8)/C5)^2*A19)/(B19+A28)^3</f>
        <v>298.04013773345025</v>
      </c>
      <c r="F39" s="386">
        <f>(((C5*C8*O4)/(8^(1/2)*3.1415926535*C10^2*C7*O3))^2)*(A19^3/(B19+A28))</f>
        <v>0.08703063749621907</v>
      </c>
      <c r="G39" s="646">
        <f>(2*3.142*$O$4^2*$C$8*$D39*K39)/(3*$C$5*$O$6*(L39+$A$28)^2)</f>
        <v>9.974003545447928</v>
      </c>
      <c r="H39" s="651">
        <f t="shared" si="42"/>
        <v>-63.798876721665835</v>
      </c>
      <c r="I39" s="285">
        <f>-$C$5*$H$6*$C$7^2/A19^2*(1+($B$30^2*$C$7^2/A19^2)*(A19/(B19)-(O4/O6)*(1-(B30^2*C7^2/2*K39^2)*(2*K39^2/L39^2-1)-A48*O4/O3)*A19*A28*G39/((B19+A28)*B19)+2*O4^2/(O3*O6)*A48*B48*(A19*A28*A45*H39/(B19*(B19+A28)^2))-0.75-E39-F39))</f>
        <v>-8.709240215188599E-13</v>
      </c>
      <c r="J39" s="481">
        <f t="shared" si="17"/>
        <v>105291.56131311558</v>
      </c>
      <c r="K39" s="82">
        <v>5</v>
      </c>
      <c r="L39" s="87">
        <v>4.5</v>
      </c>
      <c r="M39" s="87" t="s">
        <v>15</v>
      </c>
      <c r="N39" s="686" t="str">
        <f t="shared" si="0"/>
        <v>N.P.</v>
      </c>
      <c r="O39" s="148" t="str">
        <f t="shared" si="18"/>
        <v>N.P.</v>
      </c>
      <c r="P39" s="149" t="str">
        <f t="shared" si="19"/>
        <v>N.P.</v>
      </c>
      <c r="Q39" s="150" t="str">
        <f t="shared" si="20"/>
        <v>N.P.</v>
      </c>
      <c r="R39" s="165" t="str">
        <f t="shared" si="21"/>
        <v>N.P.</v>
      </c>
      <c r="S39" s="89" t="str">
        <f t="shared" si="22"/>
        <v>N.P.</v>
      </c>
      <c r="T39" s="89" t="str">
        <f t="shared" si="23"/>
        <v>N.P.</v>
      </c>
      <c r="U39" s="89" t="str">
        <f t="shared" si="24"/>
        <v>N.P.</v>
      </c>
      <c r="V39" s="166" t="str">
        <f t="shared" si="25"/>
        <v>N.P.</v>
      </c>
      <c r="W39" s="178" t="str">
        <f t="shared" si="26"/>
        <v>N.P.</v>
      </c>
      <c r="X39" s="179" t="str">
        <f t="shared" si="27"/>
        <v>N.P.</v>
      </c>
      <c r="Y39" s="179" t="str">
        <f t="shared" si="28"/>
        <v>N.P.</v>
      </c>
      <c r="Z39" s="179" t="str">
        <f t="shared" si="29"/>
        <v>N.P.</v>
      </c>
      <c r="AA39" s="179" t="str">
        <f t="shared" si="30"/>
        <v>N.P.</v>
      </c>
      <c r="AB39" s="186">
        <f t="shared" si="31"/>
        <v>40511.76147198681</v>
      </c>
      <c r="AC39" s="187">
        <f t="shared" si="32"/>
        <v>40511.62669562971</v>
      </c>
      <c r="AD39" s="178" t="str">
        <f t="shared" si="33"/>
        <v>N.P.</v>
      </c>
      <c r="AE39" s="179" t="str">
        <f t="shared" si="34"/>
        <v>N.P.</v>
      </c>
      <c r="AF39" s="179" t="str">
        <f t="shared" si="35"/>
        <v>N.P.</v>
      </c>
      <c r="AG39" s="179" t="str">
        <f t="shared" si="36"/>
        <v>N.P.</v>
      </c>
      <c r="AH39" s="179" t="str">
        <f t="shared" si="37"/>
        <v>N.P.</v>
      </c>
      <c r="AI39" s="179" t="str">
        <f t="shared" si="38"/>
        <v>N.P.</v>
      </c>
      <c r="AJ39" s="179" t="str">
        <f t="shared" si="39"/>
        <v>N.P.</v>
      </c>
      <c r="AK39" s="179" t="str">
        <f t="shared" si="40"/>
        <v>N.P.</v>
      </c>
      <c r="AL39" s="180" t="str">
        <f t="shared" si="41"/>
        <v>N.P.</v>
      </c>
      <c r="AM39" s="93"/>
      <c r="AN39" s="170"/>
      <c r="AO39" s="170"/>
      <c r="AP39" s="170"/>
      <c r="AQ39" s="170"/>
      <c r="AR39" s="170"/>
      <c r="AS39" s="170"/>
      <c r="AT39" s="170"/>
      <c r="AU39" s="170"/>
      <c r="AV39" s="170"/>
      <c r="AW39" s="171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21">
        <v>4</v>
      </c>
    </row>
    <row r="40" spans="1:63" ht="12.75">
      <c r="A40" s="102"/>
      <c r="B40" s="44"/>
      <c r="C40" s="699">
        <f>J40-J42</f>
        <v>0.0012997124285902828</v>
      </c>
      <c r="D40" s="382">
        <v>5.452322E-10</v>
      </c>
      <c r="E40" s="152">
        <f>(((3.1415926535*(5/3)^(1/2)*O4*D40*C8)/C5)^2*A20)/(B15+A27)^3</f>
        <v>498.39087521625686</v>
      </c>
      <c r="F40" s="385">
        <f>(((C5*C8*O4)/(8^(1/2)*3.1415926535*C10^2*C7*O3))^2)*(A20^3/(B15+A27))</f>
        <v>0.6015557663738662</v>
      </c>
      <c r="G40" s="645">
        <f>(2*3.142*$O$4^2*$C$8*$D40*K40)/(3*$C$5*$O$6*(L40+$A$27)^2)</f>
        <v>28.257764438737098</v>
      </c>
      <c r="H40" s="650">
        <f>(2*3.142*$C$8*$O$4*D40)/(3*$C$5*$A$27)</f>
        <v>9.4141277165041</v>
      </c>
      <c r="I40" s="284">
        <f>-$C$5*$H$6*$C$7^2/A20^2*(1+($B$30^2*$C$7^2/A20^2)*(A20/(B15)-(O4/O6)*(1-(B30^2*C7^2/2*K40^2)*(2*K40^2/L40^2-1)-A48*O4/O3)*A20*A27*G40/((B15+A27)*B15)+2*O4^2/(O3*O6)*A48*B48*(A20*A27*A44*H40/(B15*(B15+A27)^2))-0.75-E40-F40))</f>
        <v>-6.046442049095522E-13</v>
      </c>
      <c r="J40" s="472">
        <f aca="true" t="shared" si="43" ref="J40:J78">((I40-$I$15)*624150636300)*8065.541</f>
        <v>106632.04387898894</v>
      </c>
      <c r="K40" s="79">
        <v>6</v>
      </c>
      <c r="L40" s="83">
        <v>0.5</v>
      </c>
      <c r="M40" s="83" t="s">
        <v>7</v>
      </c>
      <c r="N40" s="683" t="str">
        <f t="shared" si="0"/>
        <v>N.P.</v>
      </c>
      <c r="O40" s="144" t="str">
        <f aca="true" t="shared" si="44" ref="O40:O50">IF(AND($BK40-N$79&lt;&gt;2,$BK40-N$79&lt;&gt;-2,OR(L40-O$13=1,$L40-O$13=-1)),IF($K40&lt;&gt;O$12,-($C$5*$C$8/($I$16-$I40))*100000000/$S$10,"N.P."),"N.P.")</f>
        <v>N.P.</v>
      </c>
      <c r="P40" s="153">
        <f aca="true" t="shared" si="45" ref="P40:P50">IF(AND($BK40-O$79&lt;&gt;2,$BK40-O$79&lt;&gt;-2,OR($L40-P$13=1,$L40-P$13=-1)),IF(K40&lt;&gt;P$12,-($C$5*$C$8/($I$17-$I40))*100000000/$S$10,"N.P."),"N.P.")</f>
        <v>4101.766344038</v>
      </c>
      <c r="Q40" s="154">
        <f aca="true" t="shared" si="46" ref="Q40:Q50">IF(AND($BK40-P$79&lt;&gt;2,$BK40-P$79&lt;&gt;-2,OR($L40-Q$13=1,$L40-Q$13=-1)),IF($K40&lt;&gt;Q$12,-($C$5*$C$8/($I$18-I40))*100000000/$S$10,"N.P."),"N.P.")</f>
        <v>4101.704896046765</v>
      </c>
      <c r="R40" s="159" t="str">
        <f aca="true" t="shared" si="47" ref="R40:R50">IF(AND($BK40-Q$79&lt;&gt;2,$BK40-Q$79&lt;&gt;-2,OR($L40-R$13=1,$L40-R$13=-1)),IF($K40&lt;&gt;R$12,-($C$5*$C$8/($I$19-$I40))*100000000/$Y$10,"N.P."),"N.P.")</f>
        <v>N.P.</v>
      </c>
      <c r="S40" s="153">
        <f aca="true" t="shared" si="48" ref="S40:S50">IF(AND($BK40-R$79&lt;&gt;2,$BK40-R$79&lt;&gt;-2,OR($L40-S$13=1,$L40-S$13=-1)),IF($K40&lt;&gt;S$12,-($C$5*$C$8/($I$20-$I40))*100000000/$Y$10,"N.P."),"N.P.")</f>
        <v>10938.126855985478</v>
      </c>
      <c r="T40" s="153">
        <f aca="true" t="shared" si="49" ref="T40:T50">IF(AND($BK40-S$79&lt;&gt;2,$BK40-S$79&lt;&gt;-2,OR($L40-T$13=1,$L40-T$13=-1)),IF($K40&lt;&gt;T$12,-($C$5*$C$8/($I$21-$I40))*100000000/$Y$10,"N.P."),"N.P.")</f>
        <v>10938.00098386169</v>
      </c>
      <c r="U40" s="85" t="str">
        <f aca="true" t="shared" si="50" ref="U40:U50">IF(AND($BK40-T$79&lt;&gt;2,$BK40-T$79&lt;&gt;-2,OR($L40-U$13=1,$L40-U$13=-1)),IF($K40&lt;&gt;U$12,-($C$5*$C$8/($I$22-$I40))*100000000/$Y$10,"N.P."),"N.P.")</f>
        <v>N.P.</v>
      </c>
      <c r="V40" s="160" t="str">
        <f aca="true" t="shared" si="51" ref="V40:V50">IF(AND($BK40-U$79&lt;&gt;2,$BK40-U$79&lt;&gt;-2,OR($L40-V$13=1,$L40-V$13=-1)),IF($K40&lt;&gt;V$12,-($C$5*$C$8/($I$23-$I40))*100000000/$Y$10,"N.P."),"N.P.")</f>
        <v>N.P.</v>
      </c>
      <c r="W40" s="174" t="str">
        <f aca="true" t="shared" si="52" ref="W40:W50">IF(AND($BK40-V$79&lt;&gt;2,$BK40-V$79&lt;&gt;-2,OR($L40-W$13=1,$L40-W$13=-1)),IF($K40&lt;&gt;W$12,-($C$5*$C$8/($I$24-$I40))*100000000/$AD$10,"N.P."),"N.P.")</f>
        <v>N.P.</v>
      </c>
      <c r="X40" s="182">
        <f aca="true" t="shared" si="53" ref="X40:X50">IF(AND($BK40-W$79&lt;&gt;2,$BK40-W$79&lt;&gt;-2,OR($L40-X$13=1,$L40-X$13=-1)),IF($K40&lt;&gt;X$12,-($C$5*$C$8/($I$25-$I40))*100000000/$AD$10,"N.P."),"N.P.")</f>
        <v>26251.554957884546</v>
      </c>
      <c r="Y40" s="182">
        <f aca="true" t="shared" si="54" ref="Y40:Y50">IF(AND($BK40-X$79&lt;&gt;2,$BK40-X$79&lt;&gt;-2,OR($L40-Y$13=1,$L40-Y$13=-1)),IF($K40&lt;&gt;Y$12,-($C$5*$C$8/($I$26-$I40))*100000000/$AD$10,"N.P."),"N.P.")</f>
        <v>26251.25744566878</v>
      </c>
      <c r="Z40" s="175" t="str">
        <f aca="true" t="shared" si="55" ref="Z40:Z50">IF(AND($BK40-Y$79&lt;&gt;2,$BK40-Y$79&lt;&gt;-2,OR($L40-Z$13=1,$L40-Z$13=-1)),IF($K40&lt;&gt;Z$12,-($C$5*$C$8/($I$27-$I40))*100000000/$AD$10,"N.P."),"N.P.")</f>
        <v>N.P.</v>
      </c>
      <c r="AA40" s="175" t="str">
        <f aca="true" t="shared" si="56" ref="AA40:AA50">IF(AND($BK40-Z$79&lt;&gt;2,$BK40-Z$79&lt;&gt;-2,OR($L40-AA$13=1,$L40-AA$13=-1)),IF($K40&lt;&gt;AA$12,-($C$5*$C$8/($I$28-$I40))*100000000/$AD$10,"N.P."),"N.P.")</f>
        <v>N.P.</v>
      </c>
      <c r="AB40" s="175" t="str">
        <f aca="true" t="shared" si="57" ref="AB40:AB50">IF(AND($BK40-AA$79&lt;&gt;2,$BK40-AA$79&lt;&gt;-2,OR($L40-AB$13=1,$L40-AB$13=-1)),IF($K40&lt;&gt;AB$12,-($C$5*$C$8/($I$29-$I40))*100000000/$AD$10,"N.P."),"N.P.")</f>
        <v>N.P.</v>
      </c>
      <c r="AC40" s="176" t="str">
        <f aca="true" t="shared" si="58" ref="AC40:AC50">IF(AND($BK40-AB$79&lt;&gt;2,$BK40-AB$79&lt;&gt;-2,OR($L40-AC$13=1,$L40-AC$13=-1)),IF($K40&lt;&gt;AC$12,-($C$5*$C$8/($I$30-$I40))*100000000/$AD$10,"N.P."),"N.P.")</f>
        <v>N.P.</v>
      </c>
      <c r="AD40" s="174" t="str">
        <f aca="true" t="shared" si="59" ref="AD40:AD50">IF(AND($BK40-AC$79&lt;&gt;2,$BK40-AC$79&lt;&gt;-2,OR($L40-AD$13=1,$L40-AD$13=-1)),IF($K40&lt;&gt;AD$12,-($C$5*$C$8/($I$31-$I40))*100000000/$AH$10,"N.P."),"N.P.")</f>
        <v>N.P.</v>
      </c>
      <c r="AE40" s="182">
        <f aca="true" t="shared" si="60" ref="AE40:AE50">IF(AND($BK40-AD$79&lt;&gt;2,$BK40-AD$79&lt;&gt;-2,OR($L40-AE$13=1,$L40-AE$13=-1)),IF($K40&lt;&gt;AE$12,-($C$5*$C$8/($I$32-$I40))*100000000/$AH$10,"N.P."),"N.P.")</f>
        <v>74578.6427797296</v>
      </c>
      <c r="AF40" s="184">
        <f aca="true" t="shared" si="61" ref="AF40:AF50">IF(AND($BK40-AE$79&lt;&gt;2,$BK40-AE$79&lt;&gt;-2,OR($L40-AF$13=1,$L40-AF$13=-1)),IF($K40&lt;&gt;AF$12,-($C$5*$C$8/($I$33-$I40))*100000000/$AH$10,"N.P."),"N.P.")</f>
        <v>74577.42433553189</v>
      </c>
      <c r="AG40" s="175" t="str">
        <f aca="true" t="shared" si="62" ref="AG40:AG50">IF(AND($BK40-AF$79&lt;&gt;2,$BK40-AF$79&lt;&gt;-2,OR($L40-AG$13=1,$L40-AG$13=-1)),IF($K40&lt;&gt;AG$12,-($C$5*$C$8/($I$34-$I40))*100000000/$AH$10,"N.P."),"N.P.")</f>
        <v>N.P.</v>
      </c>
      <c r="AH40" s="175" t="str">
        <f aca="true" t="shared" si="63" ref="AH40:AH50">IF(AND($BK40-AG$79&lt;&gt;2,$BK40-AG$79&lt;&gt;-2,OR($L40-AH$13=1,$L40-AH$13=-1)),IF($K40&lt;&gt;AH$12,-($C$5*$C$8/($I$35-$I40))*100000000/$AH$10,"N.P."),"N.P.")</f>
        <v>N.P.</v>
      </c>
      <c r="AI40" s="175" t="str">
        <f aca="true" t="shared" si="64" ref="AI40:AI50">IF(AND($BK40-AH$79&lt;&gt;2,$BK40-AH$79&lt;&gt;-2,OR($L40-AI$13=1,$L40-AI$13=-1)),IF($K40&lt;&gt;AI$12,-($C$5*$C$8/($I$36-$I40))*100000000/$AH$10,"N.P."),"N.P.")</f>
        <v>N.P.</v>
      </c>
      <c r="AJ40" s="175" t="str">
        <f aca="true" t="shared" si="65" ref="AJ40:AJ50">IF(AND($BK40-AI$79&lt;&gt;2,$BK40-AI$79&lt;&gt;-2,OR($L40-AJ$13=1,$L40-AJ$13=-1)),IF($K40&lt;&gt;AJ$12,-($C$5*$C$8/($I$37-$I40))*100000000/$AH$10,"N.P."),"N.P.")</f>
        <v>N.P.</v>
      </c>
      <c r="AK40" s="175" t="str">
        <f aca="true" t="shared" si="66" ref="AK40:AK50">IF(AND($BK40-AJ$79&lt;&gt;2,$BK40-AJ$79&lt;&gt;-2,OR($L40-AK$13=1,$L40-AK$13=-1)),IF($K40&lt;&gt;AK$12,-($C$5*$C$8/($I$38-$I40))*100000000/$AH$10,"N.P."),"N.P.")</f>
        <v>N.P.</v>
      </c>
      <c r="AL40" s="176" t="str">
        <f aca="true" t="shared" si="67" ref="AL40:AL50">IF(AND($BK40-AK$79&lt;&gt;2,$BK40-AK$79&lt;&gt;-2,OR($L40-AL$13=1,$L40-AL$13=-1)),IF($K40&lt;&gt;AL$12,-($C$5*$C$8/($I$39-$I40))*100000000/$AH$10,"N.P."),"N.P.")</f>
        <v>N.P.</v>
      </c>
      <c r="AM40" s="167" t="str">
        <f aca="true" t="shared" si="68" ref="AM40:AM50">IF(AND($BK40-AL$79&lt;&gt;2,$BK40-AL$79&lt;&gt;-2,OR($L40-AM$13=1,$L40-AM$13=-1)),IF($K40&lt;&gt;AM$12,-($C$5*$C$8/($I$40-$I40))*100000000/$Q$10,"N.P."),"N.P.")</f>
        <v>N.P.</v>
      </c>
      <c r="AN40" s="168" t="str">
        <f aca="true" t="shared" si="69" ref="AN40:AN50">IF(AND($BK40-AM$79&lt;&gt;2,$BK40-AM$79&lt;&gt;-2,OR($L40-AN$13=1,$L40-AN$13=-1)),IF($K40&lt;&gt;AN$12,-($C$5*$C$8/($I$41-$I40))*100000000/$Q$10,"N.P."),"N.P.")</f>
        <v>N.P.</v>
      </c>
      <c r="AO40" s="168" t="str">
        <f aca="true" t="shared" si="70" ref="AO40:AO50">IF(AND($BK40-AN$79&lt;&gt;2,$BK40-AN$79&lt;&gt;-2,OR($L40-AO$13=1,$L40-AO$13=-1)),IF($K40&lt;&gt;AO$12,-($C$5*$C$8/($I$42-$I40))*100000000/$Q$10,"N.P."),"N.P.")</f>
        <v>N.P.</v>
      </c>
      <c r="AP40" s="168" t="str">
        <f aca="true" t="shared" si="71" ref="AP40:AP50">IF(AND($BK40-AO$79&lt;&gt;2,$BK40-AO$79&lt;&gt;-2,OR($L40-AP$13=1,$L40-AP$13=-1)),IF($K40&lt;&gt;AP$12,-($C$5*$C$8/($I$43-$I40))*100000000/$Q$10,"N.P."),"N.P.")</f>
        <v>N.P.</v>
      </c>
      <c r="AQ40" s="168" t="str">
        <f aca="true" t="shared" si="72" ref="AQ40:AQ50">IF(AND($BK40-AP$79&lt;&gt;2,$BK40-AP$79&lt;&gt;-2,OR($L40-AQ$13=1,$L40-AQ$13=-1)),IF($K40&lt;&gt;AQ$12,-($C$5*$C$8/($I$44-$I40))*100000000/$Q$10,"N.P."),"N.P.")</f>
        <v>N.P.</v>
      </c>
      <c r="AR40" s="168" t="str">
        <f aca="true" t="shared" si="73" ref="AR40:AR50">IF(AND($BK40-AQ$79&lt;&gt;2,$BK40-AQ$79&lt;&gt;-2,OR($L40-AR$13=1,$L40-AR$13=-1)),IF($K40&lt;&gt;AR$12,-($C$5*$C$8/($I$45-$I40))*100000000/$Q$10,"N.P."),"N.P.")</f>
        <v>N.P.</v>
      </c>
      <c r="AS40" s="168" t="str">
        <f aca="true" t="shared" si="74" ref="AS40:AS50">IF(AND($BK40-AR$79&lt;&gt;2,$BK40-AR$79&lt;&gt;-2,OR($L40-AS$13=1,$L40-AS$13=-1)),IF($K40&lt;&gt;AS$12,-($C$5*$C$8/($I$46-$I40))*100000000/$Q$10,"N.P."),"N.P.")</f>
        <v>N.P.</v>
      </c>
      <c r="AT40" s="168" t="str">
        <f aca="true" t="shared" si="75" ref="AT40:AT50">IF(AND($BK40-AS$79&lt;&gt;2,$BK40-AS$79&lt;&gt;-2,OR($L40-AT$13=1,$L40-AT$13=-1)),IF($K40&lt;&gt;AT$12,-($C$5*$C$8/($I$47-$I40))*100000000/$Q$10,"N.P."),"N.P.")</f>
        <v>N.P.</v>
      </c>
      <c r="AU40" s="168" t="str">
        <f aca="true" t="shared" si="76" ref="AU40:AU50">IF(AND($BK40-AT$79&lt;&gt;2,$BK40-AT$79&lt;&gt;-2,OR($L40-AU$13=1,$L40-AU$13=-1)),IF($K40&lt;&gt;AU$12,-($C$5*$C$8/($I$48-$I40))*100000000/$Q$10,"N.P."),"N.P.")</f>
        <v>N.P.</v>
      </c>
      <c r="AV40" s="168" t="str">
        <f aca="true" t="shared" si="77" ref="AV40:AV50">IF(AND($BK40-AU$79&lt;&gt;2,$BK40-AU$79&lt;&gt;-2,OR($L40-AV$13=1,$L40-AV$13=-1)),IF($K40&lt;&gt;AV$12,-($C$5*$C$8/($I$49-$I40))*100000000/$Q$10,"N.P."),"N.P.")</f>
        <v>N.P.</v>
      </c>
      <c r="AW40" s="169" t="str">
        <f aca="true" t="shared" si="78" ref="AW40:AW50">IF(AND($BK40-AV$79&lt;&gt;2,$BK40-AV$79&lt;&gt;-2,OR($L40-AW$13=1,$L40-AW$13=-1)),IF($K40&lt;&gt;AW$12,-($C$5*$C$8/($I$50-$I40))*100000000/$Q$10,"N.P."),"N.P.")</f>
        <v>N.P.</v>
      </c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20">
        <v>1</v>
      </c>
    </row>
    <row r="41" spans="1:63" ht="12.75">
      <c r="A41" s="79" t="s">
        <v>75</v>
      </c>
      <c r="B41" s="44"/>
      <c r="C41" s="699">
        <f>J41-J40</f>
        <v>0.012122560772695579</v>
      </c>
      <c r="D41" s="378">
        <v>1.68461E-09</v>
      </c>
      <c r="E41" s="138">
        <f>(((3.1415926535*(5/3)^(1/2)*O4*D41*C8)/C5)^2*A20)/(B16+A27)^3</f>
        <v>594.7245299746626</v>
      </c>
      <c r="F41" s="379">
        <f>(((C5*C8*O4)/(8^(1/2)*3.1415926535*C10^2*C7*O3))^2)*(A20^3/(B16+A27))</f>
        <v>0.3007778831869331</v>
      </c>
      <c r="G41" s="645">
        <f>(2*3.142*$O$4^2*$C$8*$D41*K41)/(3*$C$5*$O$6*(L41+$A$27)^2)</f>
        <v>21.827082365614555</v>
      </c>
      <c r="H41" s="650">
        <f>(2*3.142*$C$8*$O$4*D41)/(3*$C$5*$A$27)</f>
        <v>29.086935240618534</v>
      </c>
      <c r="I41" s="284">
        <f>-$C$5*$H$6*$C$7^2/A20^2*(1+($B$30^2*$C$7^2/A20^2)*(A20/(B16)-(O4/O6)*(1-(B30^2*C7^2/2*K41^2)*(2*K41^2/L41^2-1)-A48*O4/O3)*A20*A27*G41/((B16+A27)*B16)+2*O4^2/(O3*O6)*A48*B48*(A20*A27*A44*H41/(B16*(B16+A27)^2))-0.75-E41-F41))</f>
        <v>-6.046417968265639E-13</v>
      </c>
      <c r="J41" s="472">
        <f t="shared" si="43"/>
        <v>106632.05600154972</v>
      </c>
      <c r="K41" s="82">
        <v>6</v>
      </c>
      <c r="L41" s="83">
        <v>1.5</v>
      </c>
      <c r="M41" s="83" t="s">
        <v>8</v>
      </c>
      <c r="N41" s="692">
        <f t="shared" si="0"/>
        <v>937.8034247935412</v>
      </c>
      <c r="O41" s="158">
        <f t="shared" si="44"/>
        <v>4101.708793738935</v>
      </c>
      <c r="P41" s="145" t="str">
        <f t="shared" si="45"/>
        <v>N.P.</v>
      </c>
      <c r="Q41" s="146" t="str">
        <f t="shared" si="46"/>
        <v>N.P.</v>
      </c>
      <c r="R41" s="158">
        <f t="shared" si="47"/>
        <v>10937.9990707229</v>
      </c>
      <c r="S41" s="85" t="str">
        <f t="shared" si="48"/>
        <v>N.P.</v>
      </c>
      <c r="T41" s="85" t="str">
        <f t="shared" si="49"/>
        <v>N.P.</v>
      </c>
      <c r="U41" s="172">
        <f t="shared" si="50"/>
        <v>10938.158474089505</v>
      </c>
      <c r="V41" s="173">
        <f t="shared" si="51"/>
        <v>10938.115735611338</v>
      </c>
      <c r="W41" s="183">
        <f t="shared" si="52"/>
        <v>26251.20406796949</v>
      </c>
      <c r="X41" s="175" t="str">
        <f t="shared" si="53"/>
        <v>N.P.</v>
      </c>
      <c r="Y41" s="175" t="str">
        <f t="shared" si="54"/>
        <v>N.P.</v>
      </c>
      <c r="Z41" s="184">
        <f t="shared" si="55"/>
        <v>26251.61808437205</v>
      </c>
      <c r="AA41" s="184">
        <f t="shared" si="56"/>
        <v>26251.51434781917</v>
      </c>
      <c r="AB41" s="175" t="str">
        <f t="shared" si="57"/>
        <v>N.P.</v>
      </c>
      <c r="AC41" s="176" t="str">
        <f t="shared" si="58"/>
        <v>N.P.</v>
      </c>
      <c r="AD41" s="188">
        <f t="shared" si="59"/>
        <v>74576.87573331734</v>
      </c>
      <c r="AE41" s="175" t="str">
        <f t="shared" si="60"/>
        <v>N.P.</v>
      </c>
      <c r="AF41" s="175" t="str">
        <f t="shared" si="61"/>
        <v>N.P.</v>
      </c>
      <c r="AG41" s="184">
        <f t="shared" si="62"/>
        <v>74578.70674660319</v>
      </c>
      <c r="AH41" s="184">
        <f t="shared" si="63"/>
        <v>74578.25486037676</v>
      </c>
      <c r="AI41" s="175" t="str">
        <f t="shared" si="64"/>
        <v>N.P.</v>
      </c>
      <c r="AJ41" s="175" t="str">
        <f t="shared" si="65"/>
        <v>N.P.</v>
      </c>
      <c r="AK41" s="175" t="str">
        <f t="shared" si="66"/>
        <v>N.P.</v>
      </c>
      <c r="AL41" s="176" t="str">
        <f t="shared" si="67"/>
        <v>N.P.</v>
      </c>
      <c r="AM41" s="174" t="str">
        <f t="shared" si="68"/>
        <v>N.P.</v>
      </c>
      <c r="AN41" s="175" t="str">
        <f t="shared" si="69"/>
        <v>N.P.</v>
      </c>
      <c r="AO41" s="175" t="str">
        <f t="shared" si="70"/>
        <v>N.P.</v>
      </c>
      <c r="AP41" s="175" t="str">
        <f t="shared" si="71"/>
        <v>N.P.</v>
      </c>
      <c r="AQ41" s="175" t="str">
        <f t="shared" si="72"/>
        <v>N.P.</v>
      </c>
      <c r="AR41" s="175" t="str">
        <f t="shared" si="73"/>
        <v>N.P.</v>
      </c>
      <c r="AS41" s="175" t="str">
        <f t="shared" si="74"/>
        <v>N.P.</v>
      </c>
      <c r="AT41" s="175" t="str">
        <f t="shared" si="75"/>
        <v>N.P.</v>
      </c>
      <c r="AU41" s="175" t="str">
        <f t="shared" si="76"/>
        <v>N.P.</v>
      </c>
      <c r="AV41" s="175" t="str">
        <f t="shared" si="77"/>
        <v>N.P.</v>
      </c>
      <c r="AW41" s="176" t="str">
        <f t="shared" si="78"/>
        <v>N.P.</v>
      </c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20">
        <v>2</v>
      </c>
    </row>
    <row r="42" spans="1:63" ht="12.75">
      <c r="A42" s="86" t="s">
        <v>73</v>
      </c>
      <c r="B42" s="58"/>
      <c r="C42" s="699"/>
      <c r="D42" s="378">
        <v>6.351E-10</v>
      </c>
      <c r="E42" s="138">
        <f>(((3.1415926535*(5/3)^(1/2)*O4*D42*C8)/C5)^2*A20)/(B16+A28)^3</f>
        <v>676.2251446597099</v>
      </c>
      <c r="F42" s="379">
        <f>(((C5*C8*O4)/(8^(1/2)*3.1415926535*C10^2*C7*O3))^2)*(A20^3/(B16+A28))</f>
        <v>0.6015557663738662</v>
      </c>
      <c r="G42" s="645">
        <f>(2*3.142*$O$4^2*$C$8*$D42*K42)/(3*$C$5*$O$6*(L42+$A$28)^2)</f>
        <v>32.91534541621337</v>
      </c>
      <c r="H42" s="650">
        <f aca="true" t="shared" si="79" ref="H42:H50">(2*3.142*$C$8*$O$4*D42)/(3*$C$5*$A$28)</f>
        <v>-10.965809636246272</v>
      </c>
      <c r="I42" s="284">
        <f>-$C$5*$H$6*$C$7^2/A20^2*(1+($B$30^2*$C$7^2/A20^2)*(A20/(B16)-(O4/O6)*(1-(B30^2*C7^2/2*K42^2)*(2*K42^2/L42^2-1)-A48*O4/O3)*A20*A28*G42/((B16+A28)*B16)+2*O4^2/(O3*O6)*A48*B48*(A20*A28*A45*H42/(B16*(B16+A28)^2))-0.75-E42-F42))</f>
        <v>-6.046444630905973E-13</v>
      </c>
      <c r="J42" s="472">
        <f t="shared" si="43"/>
        <v>106632.04257927652</v>
      </c>
      <c r="K42" s="82">
        <v>6</v>
      </c>
      <c r="L42" s="83">
        <v>1.5</v>
      </c>
      <c r="M42" s="83" t="s">
        <v>9</v>
      </c>
      <c r="N42" s="692">
        <f t="shared" si="0"/>
        <v>937.8035428392383</v>
      </c>
      <c r="O42" s="158">
        <f t="shared" si="44"/>
        <v>4101.711052544845</v>
      </c>
      <c r="P42" s="145" t="str">
        <f t="shared" si="45"/>
        <v>N.P.</v>
      </c>
      <c r="Q42" s="146" t="str">
        <f t="shared" si="46"/>
        <v>N.P.</v>
      </c>
      <c r="R42" s="158">
        <f t="shared" si="47"/>
        <v>10938.015133543653</v>
      </c>
      <c r="S42" s="85" t="str">
        <f t="shared" si="48"/>
        <v>N.P.</v>
      </c>
      <c r="T42" s="85" t="str">
        <f t="shared" si="49"/>
        <v>N.P.</v>
      </c>
      <c r="U42" s="85" t="str">
        <f t="shared" si="50"/>
        <v>N.P.</v>
      </c>
      <c r="V42" s="173">
        <f t="shared" si="51"/>
        <v>10938.131798774742</v>
      </c>
      <c r="W42" s="183">
        <f t="shared" si="52"/>
        <v>26251.296589952817</v>
      </c>
      <c r="X42" s="175" t="str">
        <f t="shared" si="53"/>
        <v>N.P.</v>
      </c>
      <c r="Y42" s="175" t="str">
        <f t="shared" si="54"/>
        <v>N.P.</v>
      </c>
      <c r="Z42" s="175" t="str">
        <f t="shared" si="55"/>
        <v>N.P.</v>
      </c>
      <c r="AA42" s="184">
        <f t="shared" si="56"/>
        <v>26251.60687198967</v>
      </c>
      <c r="AB42" s="175" t="str">
        <f t="shared" si="57"/>
        <v>N.P.</v>
      </c>
      <c r="AC42" s="176" t="str">
        <f t="shared" si="58"/>
        <v>N.P.</v>
      </c>
      <c r="AD42" s="188">
        <f t="shared" si="59"/>
        <v>74577.6224529708</v>
      </c>
      <c r="AE42" s="175" t="str">
        <f t="shared" si="60"/>
        <v>N.P.</v>
      </c>
      <c r="AF42" s="175" t="str">
        <f t="shared" si="61"/>
        <v>N.P.</v>
      </c>
      <c r="AG42" s="175" t="str">
        <f t="shared" si="62"/>
        <v>N.P.</v>
      </c>
      <c r="AH42" s="184">
        <f t="shared" si="63"/>
        <v>74579.00160764833</v>
      </c>
      <c r="AI42" s="175" t="str">
        <f t="shared" si="64"/>
        <v>N.P.</v>
      </c>
      <c r="AJ42" s="175" t="str">
        <f t="shared" si="65"/>
        <v>N.P.</v>
      </c>
      <c r="AK42" s="175" t="str">
        <f t="shared" si="66"/>
        <v>N.P.</v>
      </c>
      <c r="AL42" s="176" t="str">
        <f t="shared" si="67"/>
        <v>N.P.</v>
      </c>
      <c r="AM42" s="174" t="str">
        <f t="shared" si="68"/>
        <v>N.P.</v>
      </c>
      <c r="AN42" s="175" t="str">
        <f t="shared" si="69"/>
        <v>N.P.</v>
      </c>
      <c r="AO42" s="175" t="str">
        <f t="shared" si="70"/>
        <v>N.P.</v>
      </c>
      <c r="AP42" s="175" t="str">
        <f t="shared" si="71"/>
        <v>N.P.</v>
      </c>
      <c r="AQ42" s="175" t="str">
        <f t="shared" si="72"/>
        <v>N.P.</v>
      </c>
      <c r="AR42" s="175" t="str">
        <f t="shared" si="73"/>
        <v>N.P.</v>
      </c>
      <c r="AS42" s="175" t="str">
        <f t="shared" si="74"/>
        <v>N.P.</v>
      </c>
      <c r="AT42" s="175" t="str">
        <f t="shared" si="75"/>
        <v>N.P.</v>
      </c>
      <c r="AU42" s="175" t="str">
        <f t="shared" si="76"/>
        <v>N.P.</v>
      </c>
      <c r="AV42" s="175" t="str">
        <f t="shared" si="77"/>
        <v>N.P.</v>
      </c>
      <c r="AW42" s="176" t="str">
        <f t="shared" si="78"/>
        <v>N.P.</v>
      </c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20">
        <v>1</v>
      </c>
    </row>
    <row r="43" spans="1:63" ht="14.25">
      <c r="A43" s="287" t="s">
        <v>76</v>
      </c>
      <c r="B43" s="44"/>
      <c r="C43" s="699">
        <f>J43-J44</f>
        <v>0.004668616194976494</v>
      </c>
      <c r="D43" s="378">
        <v>3.131E-09</v>
      </c>
      <c r="E43" s="138">
        <f>(((3.1415926535*(5/3)^(1/2)*O4*D43*C8)/C5)^2*A20)/(B17+A27)^3</f>
        <v>608.7086328599756</v>
      </c>
      <c r="F43" s="379">
        <f>(((C5*C8*O4)/(8^(1/2)*3.1415926535*C10^2*C7*O3))^2)*(A20^3/(B17+A27))</f>
        <v>0.20051858879128875</v>
      </c>
      <c r="G43" s="645">
        <f>(2*3.142*$O$4^2*$C$8*$D43*K43)/(3*$C$5*$O$6*(L43+$A$27)^2)</f>
        <v>18.030047148859158</v>
      </c>
      <c r="H43" s="650">
        <f>(2*3.142*$C$8*$O$4*D43)/(3*$C$5*$A$27)</f>
        <v>54.06069905697855</v>
      </c>
      <c r="I43" s="284">
        <f>-$C$5*$H$6*$C$7^2/A20^2*(1+($B$30^2*$C$7^2/A20^2)*(A20/(B17)-(O4/O6)*(1-(B30^2*C7^2/2*K43^2)*(2*K43^2/L43^2-1)-A48*O4/O3)*A20*A27*G43/((B17+A27)*B17)+2*O4^2/(O3*O6)*A48*B48*(A20*A27*A44*H43/(B17*(B17+A27)^2))-0.75-E43-F43))</f>
        <v>-6.046404570008721E-13</v>
      </c>
      <c r="J43" s="472">
        <f t="shared" si="43"/>
        <v>106632.06274638306</v>
      </c>
      <c r="K43" s="82">
        <v>6</v>
      </c>
      <c r="L43" s="83">
        <v>2.5</v>
      </c>
      <c r="M43" s="83" t="s">
        <v>10</v>
      </c>
      <c r="N43" s="683" t="str">
        <f t="shared" si="0"/>
        <v>N.P.</v>
      </c>
      <c r="O43" s="144" t="str">
        <f t="shared" si="44"/>
        <v>N.P.</v>
      </c>
      <c r="P43" s="153">
        <f t="shared" si="45"/>
        <v>4101.763168799344</v>
      </c>
      <c r="Q43" s="146" t="str">
        <f t="shared" si="46"/>
        <v>N.P.</v>
      </c>
      <c r="R43" s="159" t="str">
        <f t="shared" si="47"/>
        <v>N.P.</v>
      </c>
      <c r="S43" s="172">
        <f t="shared" si="48"/>
        <v>10938.10427638401</v>
      </c>
      <c r="T43" s="85" t="str">
        <f t="shared" si="49"/>
        <v>N.P.</v>
      </c>
      <c r="U43" s="85" t="str">
        <f t="shared" si="50"/>
        <v>N.P.</v>
      </c>
      <c r="V43" s="160" t="str">
        <f t="shared" si="51"/>
        <v>N.P.</v>
      </c>
      <c r="W43" s="174" t="str">
        <f t="shared" si="52"/>
        <v>N.P.</v>
      </c>
      <c r="X43" s="184">
        <f t="shared" si="53"/>
        <v>26251.42489939444</v>
      </c>
      <c r="Y43" s="175" t="str">
        <f t="shared" si="54"/>
        <v>N.P.</v>
      </c>
      <c r="Z43" s="175" t="str">
        <f t="shared" si="55"/>
        <v>N.P.</v>
      </c>
      <c r="AA43" s="175" t="str">
        <f t="shared" si="56"/>
        <v>N.P.</v>
      </c>
      <c r="AB43" s="184">
        <f t="shared" si="57"/>
        <v>26251.6271994999</v>
      </c>
      <c r="AC43" s="185">
        <f t="shared" si="58"/>
        <v>26251.57060626988</v>
      </c>
      <c r="AD43" s="174" t="str">
        <f t="shared" si="59"/>
        <v>N.P.</v>
      </c>
      <c r="AE43" s="184">
        <f t="shared" si="60"/>
        <v>74577.5931078868</v>
      </c>
      <c r="AF43" s="175" t="str">
        <f t="shared" si="61"/>
        <v>N.P.</v>
      </c>
      <c r="AG43" s="175" t="str">
        <f t="shared" si="62"/>
        <v>N.P.</v>
      </c>
      <c r="AH43" s="175" t="str">
        <f t="shared" si="63"/>
        <v>N.P.</v>
      </c>
      <c r="AI43" s="184">
        <f t="shared" si="64"/>
        <v>74578.57741790796</v>
      </c>
      <c r="AJ43" s="184">
        <f t="shared" si="65"/>
        <v>74578.34626351124</v>
      </c>
      <c r="AK43" s="175" t="str">
        <f t="shared" si="66"/>
        <v>N.P.</v>
      </c>
      <c r="AL43" s="176" t="str">
        <f t="shared" si="67"/>
        <v>N.P.</v>
      </c>
      <c r="AM43" s="174" t="str">
        <f t="shared" si="68"/>
        <v>N.P.</v>
      </c>
      <c r="AN43" s="175" t="str">
        <f t="shared" si="69"/>
        <v>N.P.</v>
      </c>
      <c r="AO43" s="175" t="str">
        <f t="shared" si="70"/>
        <v>N.P.</v>
      </c>
      <c r="AP43" s="175" t="str">
        <f t="shared" si="71"/>
        <v>N.P.</v>
      </c>
      <c r="AQ43" s="175" t="str">
        <f t="shared" si="72"/>
        <v>N.P.</v>
      </c>
      <c r="AR43" s="175" t="str">
        <f t="shared" si="73"/>
        <v>N.P.</v>
      </c>
      <c r="AS43" s="175" t="str">
        <f t="shared" si="74"/>
        <v>N.P.</v>
      </c>
      <c r="AT43" s="175" t="str">
        <f t="shared" si="75"/>
        <v>N.P.</v>
      </c>
      <c r="AU43" s="175" t="str">
        <f t="shared" si="76"/>
        <v>N.P.</v>
      </c>
      <c r="AV43" s="175" t="str">
        <f t="shared" si="77"/>
        <v>N.P.</v>
      </c>
      <c r="AW43" s="176" t="str">
        <f t="shared" si="78"/>
        <v>N.P.</v>
      </c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20">
        <v>3</v>
      </c>
    </row>
    <row r="44" spans="1:63" ht="12.75">
      <c r="A44" s="94">
        <v>0.5</v>
      </c>
      <c r="B44" s="464" t="s">
        <v>47</v>
      </c>
      <c r="C44" s="699"/>
      <c r="D44" s="378">
        <v>1.731E-09</v>
      </c>
      <c r="E44" s="138">
        <f>(((3.1415926535*(5/3)^(1/2)*O4*D44*C8)/C5)^2*A20)/(B17+A28)^3</f>
        <v>627.9300091617596</v>
      </c>
      <c r="F44" s="379">
        <f>(((C5*C8*O4)/(8^(1/2)*3.1415926535*C10^2*C7*O3))^2)*(A20^3/(B17+A28))</f>
        <v>0.3007778831869331</v>
      </c>
      <c r="G44" s="645">
        <f>(2*3.142*$O$4^2*$C$8*$D44*K44)/(3*$C$5*$O$6*(L44+$A$28)^2)</f>
        <v>22.42814632162862</v>
      </c>
      <c r="H44" s="650">
        <f t="shared" si="79"/>
        <v>-29.887917619811514</v>
      </c>
      <c r="I44" s="284">
        <f>-$C$5*$H$6*$C$7^2/A20^2*(1+($B$30^2*$C$7^2/A20^2)*(A20/(B17)-(O4/O6)*(1-(B30^2*C7^2/2*K44^2)*(2*K44^2/L44^2-1)-A48*O4/O3)*A20*A28*G44/((B17+A28)*B17)+2*O4^2/(O3*O6)*A48*B48*(A20*A28*A45*H44/(B17*(B17+A28)^2))-0.75-E44-F44))</f>
        <v>-6.046413843969409E-13</v>
      </c>
      <c r="J44" s="472">
        <f t="shared" si="43"/>
        <v>106632.05807776687</v>
      </c>
      <c r="K44" s="82">
        <v>6</v>
      </c>
      <c r="L44" s="83">
        <v>2.5</v>
      </c>
      <c r="M44" s="83" t="s">
        <v>11</v>
      </c>
      <c r="N44" s="683" t="str">
        <f t="shared" si="0"/>
        <v>N.P.</v>
      </c>
      <c r="O44" s="144" t="str">
        <f t="shared" si="44"/>
        <v>N.P.</v>
      </c>
      <c r="P44" s="172">
        <f t="shared" si="45"/>
        <v>4101.763954491415</v>
      </c>
      <c r="Q44" s="154">
        <f t="shared" si="46"/>
        <v>4101.7025065717735</v>
      </c>
      <c r="R44" s="159" t="str">
        <f t="shared" si="47"/>
        <v>N.P.</v>
      </c>
      <c r="S44" s="172">
        <f t="shared" si="48"/>
        <v>10938.10986355352</v>
      </c>
      <c r="T44" s="172">
        <f t="shared" si="49"/>
        <v>10937.983991820816</v>
      </c>
      <c r="U44" s="85" t="str">
        <f t="shared" si="50"/>
        <v>N.P.</v>
      </c>
      <c r="V44" s="160" t="str">
        <f t="shared" si="51"/>
        <v>N.P.</v>
      </c>
      <c r="W44" s="174" t="str">
        <f t="shared" si="52"/>
        <v>N.P.</v>
      </c>
      <c r="X44" s="184">
        <f t="shared" si="53"/>
        <v>26251.457081417273</v>
      </c>
      <c r="Y44" s="184">
        <f t="shared" si="54"/>
        <v>26251.159571419987</v>
      </c>
      <c r="Z44" s="175" t="str">
        <f t="shared" si="55"/>
        <v>N.P.</v>
      </c>
      <c r="AA44" s="175" t="str">
        <f t="shared" si="56"/>
        <v>N.P.</v>
      </c>
      <c r="AB44" s="175" t="str">
        <f t="shared" si="57"/>
        <v>N.P.</v>
      </c>
      <c r="AC44" s="185">
        <f t="shared" si="58"/>
        <v>26251.60278864997</v>
      </c>
      <c r="AD44" s="174" t="str">
        <f t="shared" si="59"/>
        <v>N.P.</v>
      </c>
      <c r="AE44" s="184">
        <f t="shared" si="60"/>
        <v>74577.85283973</v>
      </c>
      <c r="AF44" s="184">
        <f t="shared" si="61"/>
        <v>74576.63442134354</v>
      </c>
      <c r="AG44" s="175" t="str">
        <f t="shared" si="62"/>
        <v>N.P.</v>
      </c>
      <c r="AH44" s="175" t="str">
        <f t="shared" si="63"/>
        <v>N.P.</v>
      </c>
      <c r="AI44" s="175" t="str">
        <f t="shared" si="64"/>
        <v>N.P.</v>
      </c>
      <c r="AJ44" s="184">
        <f t="shared" si="65"/>
        <v>74578.6060006005</v>
      </c>
      <c r="AK44" s="175" t="str">
        <f t="shared" si="66"/>
        <v>N.P.</v>
      </c>
      <c r="AL44" s="176" t="str">
        <f t="shared" si="67"/>
        <v>N.P.</v>
      </c>
      <c r="AM44" s="174" t="str">
        <f t="shared" si="68"/>
        <v>N.P.</v>
      </c>
      <c r="AN44" s="175" t="str">
        <f t="shared" si="69"/>
        <v>N.P.</v>
      </c>
      <c r="AO44" s="175" t="str">
        <f t="shared" si="70"/>
        <v>N.P.</v>
      </c>
      <c r="AP44" s="175" t="str">
        <f t="shared" si="71"/>
        <v>N.P.</v>
      </c>
      <c r="AQ44" s="175" t="str">
        <f t="shared" si="72"/>
        <v>N.P.</v>
      </c>
      <c r="AR44" s="175" t="str">
        <f t="shared" si="73"/>
        <v>N.P.</v>
      </c>
      <c r="AS44" s="175" t="str">
        <f t="shared" si="74"/>
        <v>N.P.</v>
      </c>
      <c r="AT44" s="175" t="str">
        <f t="shared" si="75"/>
        <v>N.P.</v>
      </c>
      <c r="AU44" s="175" t="str">
        <f t="shared" si="76"/>
        <v>N.P.</v>
      </c>
      <c r="AV44" s="175" t="str">
        <f t="shared" si="77"/>
        <v>N.P.</v>
      </c>
      <c r="AW44" s="176" t="str">
        <f t="shared" si="78"/>
        <v>N.P.</v>
      </c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20">
        <v>2</v>
      </c>
    </row>
    <row r="45" spans="1:63" ht="12.75">
      <c r="A45" s="95">
        <v>-0.5</v>
      </c>
      <c r="B45" s="465" t="s">
        <v>48</v>
      </c>
      <c r="C45" s="699">
        <f>J45-J46</f>
        <v>0.002495540218660608</v>
      </c>
      <c r="D45" s="378">
        <v>4.835E-09</v>
      </c>
      <c r="E45" s="138">
        <f>(((3.1415926535*(5/3)^(1/2)*O4*D45*C8)/C5)^2*A20)/(B18+A27)^3</f>
        <v>612.3786948746545</v>
      </c>
      <c r="F45" s="379">
        <f>(((C5*C8*O4)/(8^(1/2)*3.1415926535*C10^2*C7*O3))^2)*(A20^3/(B18+A27))</f>
        <v>0.15038894159346655</v>
      </c>
      <c r="G45" s="645">
        <f>(2*3.142*$O$4^2*$C$8*$D45*K45)/(3*$C$5*$O$6*(L45+$A$27)^2)</f>
        <v>15.661479992067358</v>
      </c>
      <c r="H45" s="650">
        <f>(2*3.142*$C$8*$O$4*D45)/(3*$C$5*$A$27)</f>
        <v>83.48242732050184</v>
      </c>
      <c r="I45" s="284">
        <f>-$C$5*$H$6*$C$7^2/A20^2*(1+($B$30^2*$C$7^2/A20^2)*(A20/(B18)-(O4/O6)*(1-(B30^2*C7^2/2*K45^2)*(2*K45^2/L45^2-1)-A48*O4/O3)*A20*A27*G45/((B18+A27)*B18)+2*O4^2/(O3*O6)*A48*B48*(A20*A27*A44*H45/(B18*(B18+A27)^2))-0.75-E45-F45))</f>
        <v>-6.046399875049784E-13</v>
      </c>
      <c r="J45" s="472">
        <f t="shared" si="43"/>
        <v>106632.06510987823</v>
      </c>
      <c r="K45" s="82">
        <v>6</v>
      </c>
      <c r="L45" s="83">
        <v>3.5</v>
      </c>
      <c r="M45" s="83" t="s">
        <v>12</v>
      </c>
      <c r="N45" s="683" t="str">
        <f t="shared" si="0"/>
        <v>N.P.</v>
      </c>
      <c r="O45" s="144" t="str">
        <f t="shared" si="44"/>
        <v>N.P.</v>
      </c>
      <c r="P45" s="145" t="str">
        <f t="shared" si="45"/>
        <v>N.P.</v>
      </c>
      <c r="Q45" s="146" t="str">
        <f t="shared" si="46"/>
        <v>N.P.</v>
      </c>
      <c r="R45" s="159" t="str">
        <f t="shared" si="47"/>
        <v>N.P.</v>
      </c>
      <c r="S45" s="85" t="str">
        <f t="shared" si="48"/>
        <v>N.P.</v>
      </c>
      <c r="T45" s="85" t="str">
        <f t="shared" si="49"/>
        <v>N.P.</v>
      </c>
      <c r="U45" s="153">
        <f t="shared" si="50"/>
        <v>10938.14757359976</v>
      </c>
      <c r="V45" s="160" t="str">
        <f t="shared" si="51"/>
        <v>N.P.</v>
      </c>
      <c r="W45" s="174" t="str">
        <f t="shared" si="52"/>
        <v>N.P.</v>
      </c>
      <c r="X45" s="175" t="str">
        <f t="shared" si="53"/>
        <v>N.P.</v>
      </c>
      <c r="Y45" s="175" t="str">
        <f t="shared" si="54"/>
        <v>N.P.</v>
      </c>
      <c r="Z45" s="184">
        <f t="shared" si="55"/>
        <v>26251.555297525203</v>
      </c>
      <c r="AA45" s="175" t="str">
        <f t="shared" si="56"/>
        <v>N.P.</v>
      </c>
      <c r="AB45" s="175" t="str">
        <f t="shared" si="57"/>
        <v>N.P.</v>
      </c>
      <c r="AC45" s="176" t="str">
        <f t="shared" si="58"/>
        <v>N.P.</v>
      </c>
      <c r="AD45" s="174" t="str">
        <f t="shared" si="59"/>
        <v>N.P.</v>
      </c>
      <c r="AE45" s="175" t="str">
        <f t="shared" si="60"/>
        <v>N.P.</v>
      </c>
      <c r="AF45" s="175" t="str">
        <f t="shared" si="61"/>
        <v>N.P.</v>
      </c>
      <c r="AG45" s="184">
        <f t="shared" si="62"/>
        <v>74578.2000077338</v>
      </c>
      <c r="AH45" s="175" t="str">
        <f t="shared" si="63"/>
        <v>N.P.</v>
      </c>
      <c r="AI45" s="175" t="str">
        <f t="shared" si="64"/>
        <v>N.P.</v>
      </c>
      <c r="AJ45" s="175" t="str">
        <f t="shared" si="65"/>
        <v>N.P.</v>
      </c>
      <c r="AK45" s="184">
        <f t="shared" si="66"/>
        <v>74578.55518368885</v>
      </c>
      <c r="AL45" s="185">
        <f t="shared" si="67"/>
        <v>74578.41754863021</v>
      </c>
      <c r="AM45" s="174" t="str">
        <f t="shared" si="68"/>
        <v>N.P.</v>
      </c>
      <c r="AN45" s="175" t="str">
        <f t="shared" si="69"/>
        <v>N.P.</v>
      </c>
      <c r="AO45" s="175" t="str">
        <f t="shared" si="70"/>
        <v>N.P.</v>
      </c>
      <c r="AP45" s="175" t="str">
        <f t="shared" si="71"/>
        <v>N.P.</v>
      </c>
      <c r="AQ45" s="175" t="str">
        <f t="shared" si="72"/>
        <v>N.P.</v>
      </c>
      <c r="AR45" s="175" t="str">
        <f t="shared" si="73"/>
        <v>N.P.</v>
      </c>
      <c r="AS45" s="175" t="str">
        <f t="shared" si="74"/>
        <v>N.P.</v>
      </c>
      <c r="AT45" s="175" t="str">
        <f t="shared" si="75"/>
        <v>N.P.</v>
      </c>
      <c r="AU45" s="175" t="str">
        <f t="shared" si="76"/>
        <v>N.P.</v>
      </c>
      <c r="AV45" s="175" t="str">
        <f t="shared" si="77"/>
        <v>N.P.</v>
      </c>
      <c r="AW45" s="176" t="str">
        <f t="shared" si="78"/>
        <v>N.P.</v>
      </c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20">
        <v>4</v>
      </c>
    </row>
    <row r="46" spans="1:63" ht="12.75">
      <c r="A46" s="46"/>
      <c r="B46" s="46"/>
      <c r="C46" s="699"/>
      <c r="D46" s="378">
        <v>3.1605E-09</v>
      </c>
      <c r="E46" s="138">
        <f>(((3.1415926535*(5/3)^(1/2)*O4*D46*C8)/C5)^2*A20)/(B18+A28)^3</f>
        <v>620.2330652065765</v>
      </c>
      <c r="F46" s="379">
        <f>(((C5*C8*O4)/(8^(1/2)*3.1415926535*C10^2*C7*O3))^2)*(A20^3/(B18+A28))</f>
        <v>0.20051858879128875</v>
      </c>
      <c r="G46" s="645">
        <f>(2*3.142*$O$4^2*$C$8*$D46*K46)/(3*$C$5*$O$6*(L46+$A$28)^2)</f>
        <v>18.199924629182167</v>
      </c>
      <c r="H46" s="650">
        <f t="shared" si="79"/>
        <v>-54.57005409440456</v>
      </c>
      <c r="I46" s="284">
        <f>-$C$5*$H$6*$C$7^2/A20^2*(1+($B$30^2*$C$7^2/A20^2)*(A20/(B18)-(O4/O6)*(1-(B30^2*C7^2/2*K46^2)*(2*K46^2/L46^2-1)-A48*O4/O3)*A20*A28*G46/((B18+A28)*B18)+2*O4^2/(O3*O6)*A48*B48*(A20*A28*A45*H46/(B18*(B18+A28)^2))-0.75-E46-F46))</f>
        <v>-6.046404832309272E-13</v>
      </c>
      <c r="J46" s="472">
        <f t="shared" si="43"/>
        <v>106632.062614338</v>
      </c>
      <c r="K46" s="82">
        <v>6</v>
      </c>
      <c r="L46" s="83">
        <v>3.5</v>
      </c>
      <c r="M46" s="83" t="s">
        <v>13</v>
      </c>
      <c r="N46" s="683" t="str">
        <f t="shared" si="0"/>
        <v>N.P.</v>
      </c>
      <c r="O46" s="144" t="str">
        <f t="shared" si="44"/>
        <v>N.P.</v>
      </c>
      <c r="P46" s="145" t="str">
        <f t="shared" si="45"/>
        <v>N.P.</v>
      </c>
      <c r="Q46" s="146" t="str">
        <f t="shared" si="46"/>
        <v>N.P.</v>
      </c>
      <c r="R46" s="159" t="str">
        <f t="shared" si="47"/>
        <v>N.P.</v>
      </c>
      <c r="S46" s="85" t="str">
        <f t="shared" si="48"/>
        <v>N.P.</v>
      </c>
      <c r="T46" s="85" t="str">
        <f t="shared" si="49"/>
        <v>N.P.</v>
      </c>
      <c r="U46" s="172">
        <f t="shared" si="50"/>
        <v>10938.150560162101</v>
      </c>
      <c r="V46" s="154">
        <f t="shared" si="51"/>
        <v>10938.107821745778</v>
      </c>
      <c r="W46" s="174" t="str">
        <f t="shared" si="52"/>
        <v>N.P.</v>
      </c>
      <c r="X46" s="175" t="str">
        <f t="shared" si="53"/>
        <v>N.P.</v>
      </c>
      <c r="Y46" s="175" t="str">
        <f t="shared" si="54"/>
        <v>N.P.</v>
      </c>
      <c r="Z46" s="184">
        <f t="shared" si="55"/>
        <v>26251.572500113973</v>
      </c>
      <c r="AA46" s="184">
        <f t="shared" si="56"/>
        <v>26251.468763921355</v>
      </c>
      <c r="AB46" s="175" t="str">
        <f t="shared" si="57"/>
        <v>N.P.</v>
      </c>
      <c r="AC46" s="176" t="str">
        <f t="shared" si="58"/>
        <v>N.P.</v>
      </c>
      <c r="AD46" s="174" t="str">
        <f t="shared" si="59"/>
        <v>N.P.</v>
      </c>
      <c r="AE46" s="175" t="str">
        <f t="shared" si="60"/>
        <v>N.P.</v>
      </c>
      <c r="AF46" s="175" t="str">
        <f t="shared" si="61"/>
        <v>N.P.</v>
      </c>
      <c r="AG46" s="184">
        <f t="shared" si="62"/>
        <v>74578.33884561076</v>
      </c>
      <c r="AH46" s="184">
        <f t="shared" si="63"/>
        <v>74577.88696384268</v>
      </c>
      <c r="AI46" s="175" t="str">
        <f t="shared" si="64"/>
        <v>N.P.</v>
      </c>
      <c r="AJ46" s="175" t="str">
        <f t="shared" si="65"/>
        <v>N.P.</v>
      </c>
      <c r="AK46" s="175" t="str">
        <f t="shared" si="66"/>
        <v>N.P.</v>
      </c>
      <c r="AL46" s="185">
        <f t="shared" si="67"/>
        <v>74578.55638731713</v>
      </c>
      <c r="AM46" s="174" t="str">
        <f t="shared" si="68"/>
        <v>N.P.</v>
      </c>
      <c r="AN46" s="175" t="str">
        <f t="shared" si="69"/>
        <v>N.P.</v>
      </c>
      <c r="AO46" s="175" t="str">
        <f t="shared" si="70"/>
        <v>N.P.</v>
      </c>
      <c r="AP46" s="175" t="str">
        <f t="shared" si="71"/>
        <v>N.P.</v>
      </c>
      <c r="AQ46" s="175" t="str">
        <f t="shared" si="72"/>
        <v>N.P.</v>
      </c>
      <c r="AR46" s="175" t="str">
        <f t="shared" si="73"/>
        <v>N.P.</v>
      </c>
      <c r="AS46" s="175" t="str">
        <f t="shared" si="74"/>
        <v>N.P.</v>
      </c>
      <c r="AT46" s="175" t="str">
        <f t="shared" si="75"/>
        <v>N.P.</v>
      </c>
      <c r="AU46" s="175" t="str">
        <f t="shared" si="76"/>
        <v>N.P.</v>
      </c>
      <c r="AV46" s="175" t="str">
        <f t="shared" si="77"/>
        <v>N.P.</v>
      </c>
      <c r="AW46" s="176" t="str">
        <f t="shared" si="78"/>
        <v>N.P.</v>
      </c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20">
        <v>3</v>
      </c>
    </row>
    <row r="47" spans="1:63" ht="13.5" customHeight="1">
      <c r="A47" s="663" t="s">
        <v>77</v>
      </c>
      <c r="B47" s="662" t="s">
        <v>78</v>
      </c>
      <c r="C47" s="699">
        <f>J47-J48</f>
        <v>0.0010753983369795606</v>
      </c>
      <c r="D47" s="378">
        <v>6.7649E-09</v>
      </c>
      <c r="E47" s="138">
        <f>(((3.1415926535*(5/3)^(1/2)*O4*D47*C8)/C5)^2*A20)/(B19+A27)^3</f>
        <v>613.790043493785</v>
      </c>
      <c r="F47" s="379">
        <f>(((C5*C8*O4)/(8^(1/2)*3.1415926535*C10^2*C7*O3))^2)*(A20^3/(B19+A27))</f>
        <v>0.12031115327477325</v>
      </c>
      <c r="G47" s="645">
        <f>(2*3.142*$O$4^2*$C$8*$D47*K47)/(3*$C$5*$O$6*(L47+$A$27)^2)</f>
        <v>14.024186440317548</v>
      </c>
      <c r="H47" s="650">
        <f>(2*3.142*$C$8*$O$4*D47)/(3*$C$5*$A$27)</f>
        <v>116.8046065316366</v>
      </c>
      <c r="I47" s="284">
        <f>-$C$5*$H$6*$C$7^2/A20^2*(1+($B$30^2*$C$7^2/A20^2)*(A20/(B19)-(O4/O6)*(1-(B30^2*C7^2/2*K47^2)*(2*K47^2/L47^2-1)-A48*O4/O3)*A20*A27*G47/((B19+A27)*B19)+2*O4^2/(O3*O6)*A48*B48*(A20*A27*A44*H47/(B19*(B19+A27)^2))-0.75-E47-F47))</f>
        <v>-6.046397228999534E-13</v>
      </c>
      <c r="J47" s="661">
        <f t="shared" si="43"/>
        <v>106632.06644192971</v>
      </c>
      <c r="K47" s="82">
        <v>6</v>
      </c>
      <c r="L47" s="83">
        <v>4.5</v>
      </c>
      <c r="M47" s="83" t="s">
        <v>14</v>
      </c>
      <c r="N47" s="683" t="str">
        <f aca="true" t="shared" si="80" ref="N47:N78">IF(AND($BK47-M$79&lt;&gt;2,$BK47-M$79&lt;&gt;-2,OR($L47-N$13=1,$L47-$N$13=-1)),IF($K47&lt;&gt;$N$12,-($C$5*$C$8/($I$15-$I47))*100000000,"N.P."),"N.P.")</f>
        <v>N.P.</v>
      </c>
      <c r="O47" s="144" t="str">
        <f t="shared" si="44"/>
        <v>N.P.</v>
      </c>
      <c r="P47" s="145" t="str">
        <f t="shared" si="45"/>
        <v>N.P.</v>
      </c>
      <c r="Q47" s="146" t="str">
        <f t="shared" si="46"/>
        <v>N.P.</v>
      </c>
      <c r="R47" s="159" t="str">
        <f t="shared" si="47"/>
        <v>N.P.</v>
      </c>
      <c r="S47" s="85" t="str">
        <f t="shared" si="48"/>
        <v>N.P.</v>
      </c>
      <c r="T47" s="85" t="str">
        <f t="shared" si="49"/>
        <v>N.P.</v>
      </c>
      <c r="U47" s="85" t="str">
        <f t="shared" si="50"/>
        <v>N.P.</v>
      </c>
      <c r="V47" s="160" t="str">
        <f t="shared" si="51"/>
        <v>N.P.</v>
      </c>
      <c r="W47" s="174" t="str">
        <f t="shared" si="52"/>
        <v>N.P.</v>
      </c>
      <c r="X47" s="175" t="str">
        <f t="shared" si="53"/>
        <v>N.P.</v>
      </c>
      <c r="Y47" s="175" t="str">
        <f t="shared" si="54"/>
        <v>N.P.</v>
      </c>
      <c r="Z47" s="175" t="str">
        <f t="shared" si="55"/>
        <v>N.P.</v>
      </c>
      <c r="AA47" s="175" t="str">
        <f t="shared" si="56"/>
        <v>N.P.</v>
      </c>
      <c r="AB47" s="182">
        <f t="shared" si="57"/>
        <v>26251.60172476957</v>
      </c>
      <c r="AC47" s="176" t="str">
        <f t="shared" si="58"/>
        <v>N.P.</v>
      </c>
      <c r="AD47" s="174" t="str">
        <f t="shared" si="59"/>
        <v>N.P.</v>
      </c>
      <c r="AE47" s="175" t="str">
        <f t="shared" si="60"/>
        <v>N.P.</v>
      </c>
      <c r="AF47" s="175" t="str">
        <f t="shared" si="61"/>
        <v>N.P.</v>
      </c>
      <c r="AG47" s="175" t="str">
        <f t="shared" si="62"/>
        <v>N.P.</v>
      </c>
      <c r="AH47" s="175" t="str">
        <f t="shared" si="63"/>
        <v>N.P.</v>
      </c>
      <c r="AI47" s="184">
        <f t="shared" si="64"/>
        <v>74578.3718172649</v>
      </c>
      <c r="AJ47" s="175" t="str">
        <f t="shared" si="65"/>
        <v>N.P.</v>
      </c>
      <c r="AK47" s="175" t="str">
        <f t="shared" si="66"/>
        <v>N.P.</v>
      </c>
      <c r="AL47" s="176" t="str">
        <f t="shared" si="67"/>
        <v>N.P.</v>
      </c>
      <c r="AM47" s="174" t="str">
        <f t="shared" si="68"/>
        <v>N.P.</v>
      </c>
      <c r="AN47" s="175" t="str">
        <f t="shared" si="69"/>
        <v>N.P.</v>
      </c>
      <c r="AO47" s="175" t="str">
        <f t="shared" si="70"/>
        <v>N.P.</v>
      </c>
      <c r="AP47" s="175" t="str">
        <f t="shared" si="71"/>
        <v>N.P.</v>
      </c>
      <c r="AQ47" s="175" t="str">
        <f t="shared" si="72"/>
        <v>N.P.</v>
      </c>
      <c r="AR47" s="175" t="str">
        <f t="shared" si="73"/>
        <v>N.P.</v>
      </c>
      <c r="AS47" s="175" t="str">
        <f t="shared" si="74"/>
        <v>N.P.</v>
      </c>
      <c r="AT47" s="175" t="str">
        <f t="shared" si="75"/>
        <v>N.P.</v>
      </c>
      <c r="AU47" s="175" t="str">
        <f t="shared" si="76"/>
        <v>N.P.</v>
      </c>
      <c r="AV47" s="175" t="str">
        <f t="shared" si="77"/>
        <v>N.P.</v>
      </c>
      <c r="AW47" s="176" t="str">
        <f t="shared" si="78"/>
        <v>N.P.</v>
      </c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20">
        <v>5</v>
      </c>
    </row>
    <row r="48" spans="1:63" ht="12.75">
      <c r="A48" s="288">
        <v>2.79275</v>
      </c>
      <c r="B48" s="656">
        <v>3.3548035</v>
      </c>
      <c r="C48" s="699"/>
      <c r="D48" s="378">
        <v>4.857E-09</v>
      </c>
      <c r="E48" s="138">
        <f>(((3.1415926535*(5/3)^(1/2)*O4*D48*C8)/C5)^2*A20)/(B19+A28)^3</f>
        <v>617.9642096154312</v>
      </c>
      <c r="F48" s="379">
        <f>(((C5*C8*O4)/(8^(1/2)*3.1415926535*C10^2*C7*O3))^2)*(A20^3/(B19+A28))</f>
        <v>0.15038894159346655</v>
      </c>
      <c r="G48" s="645">
        <f>(2*3.142*$O$4^2*$C$8*$D48*K48)/(3*$C$5*$O$6*(L48+$A$28)^2)</f>
        <v>15.732742155423198</v>
      </c>
      <c r="H48" s="650">
        <f t="shared" si="79"/>
        <v>-83.86228531451448</v>
      </c>
      <c r="I48" s="284">
        <f>-$C$5*$H$6*$C$7^2/A20^2*(1+($B$30^2*$C$7^2/A20^2)*(A20/(B19)-(O4/O6)*(1-(B30^2*C7^2/2*K48^2)*(2*K48^2/L48^2-1)-A48*O4/O3)*A20*A28*G48/((B19+A28)*B19)+2*O4^2/(O3*O6)*A48*B48*(A20*A28*A45*H48/(B19*(B19+A28)^2))-0.75-E48-F48))</f>
        <v>-6.046399365221782E-13</v>
      </c>
      <c r="J48" s="472">
        <f t="shared" si="43"/>
        <v>106632.06536653137</v>
      </c>
      <c r="K48" s="82">
        <v>6</v>
      </c>
      <c r="L48" s="83">
        <v>4.5</v>
      </c>
      <c r="M48" s="83" t="s">
        <v>15</v>
      </c>
      <c r="N48" s="683" t="str">
        <f t="shared" si="80"/>
        <v>N.P.</v>
      </c>
      <c r="O48" s="144" t="str">
        <f t="shared" si="44"/>
        <v>N.P.</v>
      </c>
      <c r="P48" s="145" t="str">
        <f t="shared" si="45"/>
        <v>N.P.</v>
      </c>
      <c r="Q48" s="146" t="str">
        <f t="shared" si="46"/>
        <v>N.P.</v>
      </c>
      <c r="R48" s="159" t="str">
        <f t="shared" si="47"/>
        <v>N.P.</v>
      </c>
      <c r="S48" s="85" t="str">
        <f t="shared" si="48"/>
        <v>N.P.</v>
      </c>
      <c r="T48" s="85" t="str">
        <f t="shared" si="49"/>
        <v>N.P.</v>
      </c>
      <c r="U48" s="85" t="str">
        <f t="shared" si="50"/>
        <v>N.P.</v>
      </c>
      <c r="V48" s="160" t="str">
        <f t="shared" si="51"/>
        <v>N.P.</v>
      </c>
      <c r="W48" s="174" t="str">
        <f t="shared" si="52"/>
        <v>N.P.</v>
      </c>
      <c r="X48" s="175" t="str">
        <f t="shared" si="53"/>
        <v>N.P.</v>
      </c>
      <c r="Y48" s="175" t="str">
        <f t="shared" si="54"/>
        <v>N.P.</v>
      </c>
      <c r="Z48" s="175" t="str">
        <f t="shared" si="55"/>
        <v>N.P.</v>
      </c>
      <c r="AA48" s="175" t="str">
        <f t="shared" si="56"/>
        <v>N.P.</v>
      </c>
      <c r="AB48" s="184">
        <f t="shared" si="57"/>
        <v>26251.609137871346</v>
      </c>
      <c r="AC48" s="189">
        <f t="shared" si="58"/>
        <v>26251.552544719205</v>
      </c>
      <c r="AD48" s="174" t="str">
        <f t="shared" si="59"/>
        <v>N.P.</v>
      </c>
      <c r="AE48" s="175" t="str">
        <f t="shared" si="60"/>
        <v>N.P.</v>
      </c>
      <c r="AF48" s="175" t="str">
        <f t="shared" si="61"/>
        <v>N.P.</v>
      </c>
      <c r="AG48" s="175" t="str">
        <f t="shared" si="62"/>
        <v>N.P.</v>
      </c>
      <c r="AH48" s="175" t="str">
        <f t="shared" si="63"/>
        <v>N.P.</v>
      </c>
      <c r="AI48" s="184">
        <f t="shared" si="64"/>
        <v>74578.43164661509</v>
      </c>
      <c r="AJ48" s="184">
        <f t="shared" si="65"/>
        <v>74578.20049312201</v>
      </c>
      <c r="AK48" s="175" t="str">
        <f t="shared" si="66"/>
        <v>N.P.</v>
      </c>
      <c r="AL48" s="176" t="str">
        <f t="shared" si="67"/>
        <v>N.P.</v>
      </c>
      <c r="AM48" s="174" t="str">
        <f t="shared" si="68"/>
        <v>N.P.</v>
      </c>
      <c r="AN48" s="175" t="str">
        <f t="shared" si="69"/>
        <v>N.P.</v>
      </c>
      <c r="AO48" s="175" t="str">
        <f t="shared" si="70"/>
        <v>N.P.</v>
      </c>
      <c r="AP48" s="175" t="str">
        <f t="shared" si="71"/>
        <v>N.P.</v>
      </c>
      <c r="AQ48" s="175" t="str">
        <f t="shared" si="72"/>
        <v>N.P.</v>
      </c>
      <c r="AR48" s="175" t="str">
        <f t="shared" si="73"/>
        <v>N.P.</v>
      </c>
      <c r="AS48" s="175" t="str">
        <f t="shared" si="74"/>
        <v>N.P.</v>
      </c>
      <c r="AT48" s="175" t="str">
        <f t="shared" si="75"/>
        <v>N.P.</v>
      </c>
      <c r="AU48" s="175" t="str">
        <f t="shared" si="76"/>
        <v>N.P.</v>
      </c>
      <c r="AV48" s="175" t="str">
        <f t="shared" si="77"/>
        <v>N.P.</v>
      </c>
      <c r="AW48" s="176" t="str">
        <f t="shared" si="78"/>
        <v>N.P.</v>
      </c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20">
        <v>4</v>
      </c>
    </row>
    <row r="49" spans="1:63" ht="12.75">
      <c r="A49" s="406"/>
      <c r="B49" s="406"/>
      <c r="C49" s="699">
        <f>J49-J50</f>
        <v>0.0013946887629572302</v>
      </c>
      <c r="D49" s="378">
        <v>8.898E-09</v>
      </c>
      <c r="E49" s="138">
        <f>(((3.1415926535*(5/3)^(1/2)*O4*D49*C8)/C5)^2*A20)/(B20+A27)^3</f>
        <v>614.5229994736311</v>
      </c>
      <c r="F49" s="379">
        <f>(((C5*C8*O4)/(8^(1/2)*3.1415926535*C10^2*C7*O3))^2)*(A20^3/(B20+A27))</f>
        <v>0.10025929439564438</v>
      </c>
      <c r="G49" s="645">
        <f>(2*3.142*$O$4^2*$C$8*$D49*K49)/(3*$C$5*$O$6*(L49+$A$27)^2)</f>
        <v>12.809913728085979</v>
      </c>
      <c r="H49" s="650">
        <f>(2*3.142*$C$8*$O$4*D49)/(3*$C$5*$A$27)</f>
        <v>153.63529230565157</v>
      </c>
      <c r="I49" s="284">
        <f>-$C$5*$H$6*$C$7^2/A20^2*(1+($B$30^2*$C$7^2/A20^2)*(A20/(B20)-(O4/O6)*(1-(B30^2*C7^2/2*K49^2)*(2*K49^2/L49^2-1)-A48*O4/O3)*A20*A27*G49/((B20+A27)*B20)+2*O4^2/(O3*O6)*A48*B48*(A20*A27*A44*H49/(B20*(B20+A27)^2))-0.75-E49-F49))</f>
        <v>-6.046394921862295E-13</v>
      </c>
      <c r="J49" s="472">
        <f t="shared" si="43"/>
        <v>106632.06760336854</v>
      </c>
      <c r="K49" s="82">
        <v>6</v>
      </c>
      <c r="L49" s="83">
        <v>5.5</v>
      </c>
      <c r="M49" s="83" t="s">
        <v>16</v>
      </c>
      <c r="N49" s="683" t="str">
        <f t="shared" si="80"/>
        <v>N.P.</v>
      </c>
      <c r="O49" s="144" t="str">
        <f t="shared" si="44"/>
        <v>N.P.</v>
      </c>
      <c r="P49" s="145" t="str">
        <f t="shared" si="45"/>
        <v>N.P.</v>
      </c>
      <c r="Q49" s="146" t="str">
        <f t="shared" si="46"/>
        <v>N.P.</v>
      </c>
      <c r="R49" s="159" t="str">
        <f t="shared" si="47"/>
        <v>N.P.</v>
      </c>
      <c r="S49" s="85" t="str">
        <f t="shared" si="48"/>
        <v>N.P.</v>
      </c>
      <c r="T49" s="85" t="str">
        <f t="shared" si="49"/>
        <v>N.P.</v>
      </c>
      <c r="U49" s="85" t="str">
        <f t="shared" si="50"/>
        <v>N.P.</v>
      </c>
      <c r="V49" s="160" t="str">
        <f t="shared" si="51"/>
        <v>N.P.</v>
      </c>
      <c r="W49" s="174" t="str">
        <f t="shared" si="52"/>
        <v>N.P.</v>
      </c>
      <c r="X49" s="175" t="str">
        <f t="shared" si="53"/>
        <v>N.P.</v>
      </c>
      <c r="Y49" s="175" t="str">
        <f t="shared" si="54"/>
        <v>N.P.</v>
      </c>
      <c r="Z49" s="175" t="str">
        <f t="shared" si="55"/>
        <v>N.P.</v>
      </c>
      <c r="AA49" s="175" t="str">
        <f t="shared" si="56"/>
        <v>N.P.</v>
      </c>
      <c r="AB49" s="175" t="str">
        <f t="shared" si="57"/>
        <v>N.P.</v>
      </c>
      <c r="AC49" s="176" t="str">
        <f t="shared" si="58"/>
        <v>N.P.</v>
      </c>
      <c r="AD49" s="174" t="str">
        <f t="shared" si="59"/>
        <v>N.P.</v>
      </c>
      <c r="AE49" s="175" t="str">
        <f t="shared" si="60"/>
        <v>N.P.</v>
      </c>
      <c r="AF49" s="175" t="str">
        <f t="shared" si="61"/>
        <v>N.P.</v>
      </c>
      <c r="AG49" s="175" t="str">
        <f t="shared" si="62"/>
        <v>N.P.</v>
      </c>
      <c r="AH49" s="175" t="str">
        <f t="shared" si="63"/>
        <v>N.P.</v>
      </c>
      <c r="AI49" s="175" t="str">
        <f t="shared" si="64"/>
        <v>N.P.</v>
      </c>
      <c r="AJ49" s="175" t="str">
        <f t="shared" si="65"/>
        <v>N.P.</v>
      </c>
      <c r="AK49" s="182">
        <f t="shared" si="66"/>
        <v>74578.4164590513</v>
      </c>
      <c r="AL49" s="176" t="str">
        <f t="shared" si="67"/>
        <v>N.P.</v>
      </c>
      <c r="AM49" s="174" t="str">
        <f t="shared" si="68"/>
        <v>N.P.</v>
      </c>
      <c r="AN49" s="175" t="str">
        <f t="shared" si="69"/>
        <v>N.P.</v>
      </c>
      <c r="AO49" s="175" t="str">
        <f t="shared" si="70"/>
        <v>N.P.</v>
      </c>
      <c r="AP49" s="175" t="str">
        <f t="shared" si="71"/>
        <v>N.P.</v>
      </c>
      <c r="AQ49" s="175" t="str">
        <f t="shared" si="72"/>
        <v>N.P.</v>
      </c>
      <c r="AR49" s="175" t="str">
        <f t="shared" si="73"/>
        <v>N.P.</v>
      </c>
      <c r="AS49" s="175" t="str">
        <f t="shared" si="74"/>
        <v>N.P.</v>
      </c>
      <c r="AT49" s="175" t="str">
        <f t="shared" si="75"/>
        <v>N.P.</v>
      </c>
      <c r="AU49" s="175" t="str">
        <f t="shared" si="76"/>
        <v>N.P.</v>
      </c>
      <c r="AV49" s="175" t="str">
        <f t="shared" si="77"/>
        <v>N.P.</v>
      </c>
      <c r="AW49" s="176" t="str">
        <f t="shared" si="78"/>
        <v>N.P.</v>
      </c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20">
        <v>6</v>
      </c>
    </row>
    <row r="50" spans="1:63" ht="12.75">
      <c r="A50" s="45"/>
      <c r="B50" s="45"/>
      <c r="C50" s="700"/>
      <c r="D50" s="378">
        <v>6.7818E-09</v>
      </c>
      <c r="E50" s="138">
        <f>(((3.1415926535*(5/3)^(1/2)*O4*D50*C8)/C5)^2*A20)/(B20+A28)^3</f>
        <v>616.860601420099</v>
      </c>
      <c r="F50" s="379">
        <f>(((C5*C8*O4)/(8^(1/2)*3.1415926535*C10^2*C7*O3))^2)*(A20^3/(B20+A28))</f>
        <v>0.12031115327477325</v>
      </c>
      <c r="G50" s="645">
        <f>(2*3.142*$O$4^2*$C$8*$D50*K50)/(3*$C$5*$O$6*(L50+$A$28)^2)</f>
        <v>14.059221511174673</v>
      </c>
      <c r="H50" s="650">
        <f t="shared" si="79"/>
        <v>-117.0964065361281</v>
      </c>
      <c r="I50" s="284">
        <f>-$C$5*$H$6*$C$7^2/A20^2*(1+($B$30^2*$C$7^2/A20^2)*(A20/(B20)-(O4/O6)*(1-(B30^2*C7^2/2*K50^2)*(2*K50^2/L50^2-1)-A48*O4/O3)*A20*A28*G50/((B20+A28)*B20)+2*O4^2/(O3*O6)*A48*B48*(A20*A28*A45*H50/(B20*(B20+A28)^2))-0.75-E50-F50))</f>
        <v>-6.046397692338202E-13</v>
      </c>
      <c r="J50" s="472">
        <f t="shared" si="43"/>
        <v>106632.06620867978</v>
      </c>
      <c r="K50" s="82">
        <v>6</v>
      </c>
      <c r="L50" s="83">
        <v>5.5</v>
      </c>
      <c r="M50" s="83" t="s">
        <v>17</v>
      </c>
      <c r="N50" s="686" t="str">
        <f t="shared" si="80"/>
        <v>N.P.</v>
      </c>
      <c r="O50" s="148" t="str">
        <f t="shared" si="44"/>
        <v>N.P.</v>
      </c>
      <c r="P50" s="149" t="str">
        <f t="shared" si="45"/>
        <v>N.P.</v>
      </c>
      <c r="Q50" s="150" t="str">
        <f t="shared" si="46"/>
        <v>N.P.</v>
      </c>
      <c r="R50" s="165" t="str">
        <f t="shared" si="47"/>
        <v>N.P.</v>
      </c>
      <c r="S50" s="89" t="str">
        <f t="shared" si="48"/>
        <v>N.P.</v>
      </c>
      <c r="T50" s="89" t="str">
        <f t="shared" si="49"/>
        <v>N.P.</v>
      </c>
      <c r="U50" s="89" t="str">
        <f t="shared" si="50"/>
        <v>N.P.</v>
      </c>
      <c r="V50" s="166" t="str">
        <f t="shared" si="51"/>
        <v>N.P.</v>
      </c>
      <c r="W50" s="178" t="str">
        <f t="shared" si="52"/>
        <v>N.P.</v>
      </c>
      <c r="X50" s="179" t="str">
        <f t="shared" si="53"/>
        <v>N.P.</v>
      </c>
      <c r="Y50" s="179" t="str">
        <f t="shared" si="54"/>
        <v>N.P.</v>
      </c>
      <c r="Z50" s="179" t="str">
        <f t="shared" si="55"/>
        <v>N.P.</v>
      </c>
      <c r="AA50" s="179" t="str">
        <f t="shared" si="56"/>
        <v>N.P.</v>
      </c>
      <c r="AB50" s="179" t="str">
        <f t="shared" si="57"/>
        <v>N.P.</v>
      </c>
      <c r="AC50" s="180" t="str">
        <f t="shared" si="58"/>
        <v>N.P.</v>
      </c>
      <c r="AD50" s="178" t="str">
        <f t="shared" si="59"/>
        <v>N.P.</v>
      </c>
      <c r="AE50" s="179" t="str">
        <f t="shared" si="60"/>
        <v>N.P.</v>
      </c>
      <c r="AF50" s="179" t="str">
        <f t="shared" si="61"/>
        <v>N.P.</v>
      </c>
      <c r="AG50" s="179" t="str">
        <f t="shared" si="62"/>
        <v>N.P.</v>
      </c>
      <c r="AH50" s="179" t="str">
        <f t="shared" si="63"/>
        <v>N.P.</v>
      </c>
      <c r="AI50" s="179" t="str">
        <f t="shared" si="64"/>
        <v>N.P.</v>
      </c>
      <c r="AJ50" s="179" t="str">
        <f t="shared" si="65"/>
        <v>N.P.</v>
      </c>
      <c r="AK50" s="186">
        <f t="shared" si="66"/>
        <v>74578.49405210666</v>
      </c>
      <c r="AL50" s="187">
        <f t="shared" si="67"/>
        <v>74578.35641727365</v>
      </c>
      <c r="AM50" s="178" t="str">
        <f t="shared" si="68"/>
        <v>N.P.</v>
      </c>
      <c r="AN50" s="179" t="str">
        <f t="shared" si="69"/>
        <v>N.P.</v>
      </c>
      <c r="AO50" s="179" t="str">
        <f t="shared" si="70"/>
        <v>N.P.</v>
      </c>
      <c r="AP50" s="179" t="str">
        <f t="shared" si="71"/>
        <v>N.P.</v>
      </c>
      <c r="AQ50" s="179" t="str">
        <f t="shared" si="72"/>
        <v>N.P.</v>
      </c>
      <c r="AR50" s="179" t="str">
        <f t="shared" si="73"/>
        <v>N.P.</v>
      </c>
      <c r="AS50" s="179" t="str">
        <f t="shared" si="74"/>
        <v>N.P.</v>
      </c>
      <c r="AT50" s="179" t="str">
        <f t="shared" si="75"/>
        <v>N.P.</v>
      </c>
      <c r="AU50" s="179" t="str">
        <f t="shared" si="76"/>
        <v>N.P.</v>
      </c>
      <c r="AV50" s="179" t="str">
        <f t="shared" si="77"/>
        <v>N.P.</v>
      </c>
      <c r="AW50" s="180" t="str">
        <f t="shared" si="78"/>
        <v>N.P.</v>
      </c>
      <c r="AX50" s="190"/>
      <c r="AY50" s="170"/>
      <c r="AZ50" s="170"/>
      <c r="BA50" s="170"/>
      <c r="BB50" s="170"/>
      <c r="BC50" s="170"/>
      <c r="BD50" s="170"/>
      <c r="BE50" s="170"/>
      <c r="BF50" s="170"/>
      <c r="BG50" s="170"/>
      <c r="BH50" s="191"/>
      <c r="BI50" s="191"/>
      <c r="BJ50" s="170"/>
      <c r="BK50" s="21">
        <v>5</v>
      </c>
    </row>
    <row r="51" spans="1:63" ht="12.75">
      <c r="A51" s="390"/>
      <c r="B51" s="390"/>
      <c r="C51" s="699">
        <f>J51-J53</f>
        <v>0.0007703745359322056</v>
      </c>
      <c r="D51" s="382">
        <v>7.147E-10</v>
      </c>
      <c r="E51" s="193">
        <f>(((3.1415926535*(5/3)^(1/2)*O4*D51*C8)/C5)^2*A21)/(B15+A27)^3</f>
        <v>999.0827114687613</v>
      </c>
      <c r="F51" s="194">
        <f>(((C5*C8*O4)/(8^(1/2)*3.1415926535*C10^2*C7*O3))^2)*(A21^3/(B15+A27))</f>
        <v>0.9552482771585006</v>
      </c>
      <c r="G51" s="648">
        <f>(2*3.142*$O$4^2*$C$8*$D51*K51)/(3*$C$5*$O$6*(L51+$A$27)^2)</f>
        <v>43.214239642779056</v>
      </c>
      <c r="H51" s="649">
        <f>(2*3.142*$C$8*$O$4*D51)/(3*$C$5*$A$27)</f>
        <v>12.340204923673769</v>
      </c>
      <c r="I51" s="486">
        <f>-$C$5*$H$6*$C$7^2/A21^2*(1+($B$30^2*$C$7^2/A21^2)*(A21/(B15)-(O4/O6)*(1-(B30^2*C7^2/2*K51^2)*(2*K51^2/L51^2-1)-A48*O4/O3)*A21*A27*G51/((B15+A27)*B15)+2*O4^2/(O3*O6)*A48*B48*(A21*A27*A44*H51/(B15*(B15+A27)^2))-0.75-E51-F51))</f>
        <v>-4.440816701056294E-13</v>
      </c>
      <c r="J51" s="489">
        <f t="shared" si="43"/>
        <v>107440.33375006422</v>
      </c>
      <c r="K51" s="79">
        <v>7</v>
      </c>
      <c r="L51" s="76">
        <v>0.5</v>
      </c>
      <c r="M51" s="76" t="s">
        <v>7</v>
      </c>
      <c r="N51" s="683" t="str">
        <f t="shared" si="80"/>
        <v>N.P.</v>
      </c>
      <c r="O51" s="144" t="str">
        <f aca="true" t="shared" si="81" ref="O51:O63">IF(AND($BK51-N$79&lt;&gt;2,$BK51-N$79&lt;&gt;-2,OR(L51-O$13=1,$L51-O$13=-1)),IF($K51&lt;&gt;O$12,-($C$5*$C$8/($I$16-$I51))*100000000/$R$10,"N.P."),"N.P.")</f>
        <v>N.P.</v>
      </c>
      <c r="P51" s="153">
        <f aca="true" t="shared" si="82" ref="P51:P63">IF(AND($BK51-O$79&lt;&gt;2,$BK51-O$79&lt;&gt;-2,OR($L51-P$13=1,$L51-P$13=-1)),IF(K51&lt;&gt;P$12,-($C$5*$C$8/($I$17-$I51))*100000000/$R$10,"N.P."),"N.P.")</f>
        <v>3970.10088379001</v>
      </c>
      <c r="Q51" s="154">
        <f aca="true" t="shared" si="83" ref="Q51:Q63">IF(AND($BK51-P$79&lt;&gt;2,$BK51-P$79&lt;&gt;-2,OR($L51-Q$13=1,$L51-Q$13=-1)),IF($K51&lt;&gt;Q$12,-($C$5*$C$8/($I$18-I51))*100000000/$R$10,"N.P."),"N.P.")</f>
        <v>3970.0433173399438</v>
      </c>
      <c r="R51" s="159" t="str">
        <f aca="true" t="shared" si="84" ref="R51:R63">IF(AND($BK51-Q$79&lt;&gt;2,$BK51-Q$79&lt;&gt;-2,OR($L51-R$13=1,$L51-R$13=-1)),IF($K51&lt;&gt;R$12,-($C$5*$C$8/($I$19-$I51))*100000000/$X$10,"N.P."),"N.P.")</f>
        <v>N.P.</v>
      </c>
      <c r="S51" s="172">
        <f aca="true" t="shared" si="85" ref="S51:S63">IF(AND($BK51-R$79&lt;&gt;2,$BK51-R$79&lt;&gt;-2,OR($L51-S$13=1,$L51-S$13=-1)),IF($K51&lt;&gt;S$12,-($C$5*$C$8/($I$20-$I51))*100000000/$X$10,"N.P."),"N.P.")</f>
        <v>10049.395213639862</v>
      </c>
      <c r="T51" s="172">
        <f aca="true" t="shared" si="86" ref="T51:T63">IF(AND($BK51-S$79&lt;&gt;2,$BK51-S$79&lt;&gt;-2,OR($L51-T$13=1,$L51-T$13=-1)),IF($K51&lt;&gt;T$12,-($C$5*$C$8/($I$21-$I51))*100000000/$X$10,"N.P."),"N.P.")</f>
        <v>10049.288964845362</v>
      </c>
      <c r="U51" s="85" t="str">
        <f aca="true" t="shared" si="87" ref="U51:U63">IF(AND($BK51-T$79&lt;&gt;2,$BK51-T$79&lt;&gt;-2,OR($L51-U$13=1,$L51-U$13=-1)),IF($K51&lt;&gt;U$12,-($C$5*$C$8/($I$22-$I51))*100000000/$X$10,"N.P."),"N.P.")</f>
        <v>N.P.</v>
      </c>
      <c r="V51" s="160" t="str">
        <f aca="true" t="shared" si="88" ref="V51:V63">IF(AND($BK51-U$79&lt;&gt;2,$BK51-U$79&lt;&gt;-2,OR($L51-V$13=1,$L51-V$13=-1)),IF($K51&lt;&gt;V$12,-($C$5*$C$8/($I$23-$I51))*100000000/$X$10,"N.P."),"N.P.")</f>
        <v>N.P.</v>
      </c>
      <c r="W51" s="174" t="str">
        <f aca="true" t="shared" si="89" ref="W51:W63">IF(AND($BK51-V$79&lt;&gt;2,$BK51-V$79&lt;&gt;-2,OR($L51-W$13=1,$L51-W$13=-1)),IF($K51&lt;&gt;W$12,-($C$5*$C$8/($I$24-$I51))*100000000/$AC$10,"N.P."),"N.P.")</f>
        <v>N.P.</v>
      </c>
      <c r="X51" s="184">
        <f aca="true" t="shared" si="90" ref="X51:X63">IF(AND($BK51-W$79&lt;&gt;2,$BK51-W$79&lt;&gt;-2,OR($L51-X$13=1,$L51-X$13=-1)),IF($K51&lt;&gt;X$12,-($C$5*$C$8/($I$25-$I51))*100000000/$AC$10,"N.P."),"N.P.")</f>
        <v>21655.287844631534</v>
      </c>
      <c r="Y51" s="184">
        <f aca="true" t="shared" si="91" ref="Y51:Y63">IF(AND($BK51-X$79&lt;&gt;2,$BK51-X$79&lt;&gt;-2,OR($L51-Y$13=1,$L51-Y$13=-1)),IF($K51&lt;&gt;Y$12,-($C$5*$C$8/($I$26-$I51))*100000000/$AC$10,"N.P."),"N.P.")</f>
        <v>21655.085391935416</v>
      </c>
      <c r="Z51" s="175" t="str">
        <f aca="true" t="shared" si="92" ref="Z51:Z63">IF(AND($BK51-Y$79&lt;&gt;2,$BK51-Y$79&lt;&gt;-2,OR($L51-Z$13=1,$L51-Z$13=-1)),IF($K51&lt;&gt;Z$12,-($C$5*$C$8/($I$27-$I51))*100000000/$AC$10,"N.P."),"N.P.")</f>
        <v>N.P.</v>
      </c>
      <c r="AA51" s="175" t="str">
        <f aca="true" t="shared" si="93" ref="AA51:AA63">IF(AND($BK51-Z$79&lt;&gt;2,$BK51-Z$79&lt;&gt;-2,OR($L51-AA$13=1,$L51-AA$13=-1)),IF($K51&lt;&gt;AA$12,-($C$5*$C$8/($I$28-$I51))*100000000/$AC$10,"N.P."),"N.P.")</f>
        <v>N.P.</v>
      </c>
      <c r="AB51" s="175" t="str">
        <f aca="true" t="shared" si="94" ref="AB51:AB63">IF(AND($BK51-AA$79&lt;&gt;2,$BK51-AA$79&lt;&gt;-2,OR($L51-AB$13=1,$L51-AB$13=-1)),IF($K51&lt;&gt;AB$12,-($C$5*$C$8/($I$29-$I51))*100000000/$AC$10,"N.P."),"N.P.")</f>
        <v>N.P.</v>
      </c>
      <c r="AC51" s="176" t="str">
        <f aca="true" t="shared" si="95" ref="AC51:AC63">IF(AND($BK51-AB$79&lt;&gt;2,$BK51-AB$79&lt;&gt;-2,OR($L51-AC$13=1,$L51-AC$13=-1)),IF($K51&lt;&gt;AC$12,-($C$5*$C$8/($I$30-$I51))*100000000/$AC$10,"N.P."),"N.P.")</f>
        <v>N.P.</v>
      </c>
      <c r="AD51" s="174" t="str">
        <f aca="true" t="shared" si="96" ref="AD51:AD63">IF(AND($BK51-AC$79&lt;&gt;2,$BK51-AC$79&lt;&gt;-2,OR($L51-AD$13=1,$L51-AD$13=-1)),IF($K51&lt;&gt;AD$12,-($C$5*$C$8/($I$31-$I51))*100000000/$AG$10,"N.P."),"N.P.")</f>
        <v>N.P.</v>
      </c>
      <c r="AE51" s="184">
        <f aca="true" t="shared" si="97" ref="AE51:AE63">IF(AND($BK51-AD$79&lt;&gt;2,$BK51-AD$79&lt;&gt;-2,OR($L51-AE$13=1,$L51-AE$13=-1)),IF($K51&lt;&gt;AE$12,-($C$5*$C$8/($I$32-$I51))*100000000/$AG$10,"N.P."),"N.P.")</f>
        <v>46525.098095217734</v>
      </c>
      <c r="AF51" s="184">
        <f aca="true" t="shared" si="98" ref="AF51:AF63">IF(AND($BK51-AE$79&lt;&gt;2,$BK51-AE$79&lt;&gt;-2,OR($L51-AF$13=1,$L51-AF$13=-1)),IF($K51&lt;&gt;AF$12,-($C$5*$C$8/($I$33-$I51))*100000000/$AG$10,"N.P."),"N.P.")</f>
        <v>46524.62390348877</v>
      </c>
      <c r="AG51" s="175" t="str">
        <f aca="true" t="shared" si="99" ref="AG51:AG63">IF(AND($BK51-AF$79&lt;&gt;2,$BK51-AF$79&lt;&gt;-2,OR($L51-AG$13=1,$L51-AG$13=-1)),IF($K51&lt;&gt;AG$12,-($C$5*$C$8/($I$34-$I51))*100000000/$AG$10,"N.P."),"N.P.")</f>
        <v>N.P.</v>
      </c>
      <c r="AH51" s="175" t="str">
        <f aca="true" t="shared" si="100" ref="AH51:AH63">IF(AND($BK51-AG$79&lt;&gt;2,$BK51-AG$79&lt;&gt;-2,OR($L51-AH$13=1,$L51-AH$13=-1)),IF($K51&lt;&gt;AH$12,-($C$5*$C$8/($I$35-$I51))*100000000/$AG$10,"N.P."),"N.P.")</f>
        <v>N.P.</v>
      </c>
      <c r="AI51" s="175" t="str">
        <f aca="true" t="shared" si="101" ref="AI51:AI63">IF(AND($BK51-AH$79&lt;&gt;2,$BK51-AH$79&lt;&gt;-2,OR($L51-AI$13=1,$L51-AI$13=-1)),IF($K51&lt;&gt;AI$12,-($C$5*$C$8/($I$36-$I51))*100000000/$AG$10,"N.P."),"N.P.")</f>
        <v>N.P.</v>
      </c>
      <c r="AJ51" s="175" t="str">
        <f aca="true" t="shared" si="102" ref="AJ51:AJ63">IF(AND($BK51-AI$79&lt;&gt;2,$BK51-AI$79&lt;&gt;-2,OR($L51-AJ$13=1,$L51-AJ$13=-1)),IF($K51&lt;&gt;AJ$12,-($C$5*$C$8/($I$37-$I51))*100000000/$AG$10,"N.P."),"N.P.")</f>
        <v>N.P.</v>
      </c>
      <c r="AK51" s="175" t="str">
        <f aca="true" t="shared" si="103" ref="AK51:AK63">IF(AND($BK51-AJ$79&lt;&gt;2,$BK51-AJ$79&lt;&gt;-2,OR($L51-AK$13=1,$L51-AK$13=-1)),IF($K51&lt;&gt;AK$12,-($C$5*$C$8/($I$38-$I51))*100000000/$AG$10,"N.P."),"N.P.")</f>
        <v>N.P.</v>
      </c>
      <c r="AL51" s="176" t="str">
        <f aca="true" t="shared" si="104" ref="AL51:AL63">IF(AND($BK51-AK$79&lt;&gt;2,$BK51-AK$79&lt;&gt;-2,OR($L51-AL$13=1,$L51-AL$13=-1)),IF($K51&lt;&gt;AL$12,-($C$5*$C$8/($I$39-$I51))*100000000/$AG$10,"N.P."),"N.P.")</f>
        <v>N.P.</v>
      </c>
      <c r="AM51" s="174" t="str">
        <f aca="true" t="shared" si="105" ref="AM51:AM63">IF(AND($BK51-AL$79&lt;&gt;2,$BK51-AL$79&lt;&gt;-2,OR($L51-AM$13=1,$L51-AM$13=-1)),IF($K51&lt;&gt;AM$12,-($C$5*$C$8/($I$40-$I51))*100000000/$AJ$10,"N.P."),"N.P.")</f>
        <v>N.P.</v>
      </c>
      <c r="AN51" s="184">
        <f aca="true" t="shared" si="106" ref="AN51:AN63">IF(AND($BK51-AM$79&lt;&gt;2,$BK51-AM$79&lt;&gt;-2,OR($L51-AN$13=1,$L51-AN$13=-1)),IF($K51&lt;&gt;AN$12,-($C$5*$C$8/($I$41-$I51))*100000000/$AJ$10,"N.P."),"N.P.")</f>
        <v>123686.0155744549</v>
      </c>
      <c r="AO51" s="184">
        <f aca="true" t="shared" si="107" ref="AO51:AO63">IF(AND($BK51-AN$79&lt;&gt;2,$BK51-AN$79&lt;&gt;-2,OR($L51-AO$13=1,$L51-AO$13=-1)),IF($K51&lt;&gt;AO$12,-($C$5*$C$8/($I$42-$I51))*100000000/$AJ$10,"N.P."),"N.P.")</f>
        <v>123683.96167660825</v>
      </c>
      <c r="AP51" s="175" t="str">
        <f aca="true" t="shared" si="108" ref="AP51:AP63">IF(AND($BK51-AO$79&lt;&gt;2,$BK51-AO$79&lt;&gt;-2,OR($L51-AP$13=1,$L51-AP$13=-1)),IF($K51&lt;&gt;AP$12,-($C$5*$C$8/($I$43-$I51))*100000000/$AJ$10,"N.P."),"N.P.")</f>
        <v>N.P.</v>
      </c>
      <c r="AQ51" s="175" t="str">
        <f aca="true" t="shared" si="109" ref="AQ51:AQ63">IF(AND($BK51-AP$79&lt;&gt;2,$BK51-AP$79&lt;&gt;-2,OR($L51-AQ$13=1,$L51-AQ$13=-1)),IF($K51&lt;&gt;AQ$12,-($C$5*$C$8/($I$44-$I51))*100000000/$AJ$10,"N.P."),"N.P.")</f>
        <v>N.P.</v>
      </c>
      <c r="AR51" s="175" t="str">
        <f aca="true" t="shared" si="110" ref="AR51:AR63">IF(AND($BK51-AQ$79&lt;&gt;2,$BK51-AQ$79&lt;&gt;-2,OR($L51-AR$13=1,$L51-AR$13=-1)),IF($K51&lt;&gt;AR$12,-($C$5*$C$8/($I$45-$I51))*100000000/$AJ$10,"N.P."),"N.P.")</f>
        <v>N.P.</v>
      </c>
      <c r="AS51" s="175" t="str">
        <f aca="true" t="shared" si="111" ref="AS51:AS63">IF(AND($BK51-AR$79&lt;&gt;2,$BK51-AR$79&lt;&gt;-2,OR($L51-AS$13=1,$L51-AS$13=-1)),IF($K51&lt;&gt;AS$12,-($C$5*$C$8/($I$46-$I51))*100000000/$AJ$10,"N.P."),"N.P.")</f>
        <v>N.P.</v>
      </c>
      <c r="AT51" s="175" t="str">
        <f aca="true" t="shared" si="112" ref="AT51:AT63">IF(AND($BK51-AS$79&lt;&gt;2,$BK51-AS$79&lt;&gt;-2,OR($L51-AT$13=1,$L51-AT$13=-1)),IF($K51&lt;&gt;AT$12,-($C$5*$C$8/($I$47-$I51))*100000000/$AJ$10,"N.P."),"N.P.")</f>
        <v>N.P.</v>
      </c>
      <c r="AU51" s="175" t="str">
        <f aca="true" t="shared" si="113" ref="AU51:AU63">IF(AND($BK51-AT$79&lt;&gt;2,$BK51-AT$79&lt;&gt;-2,OR($L51-AU$13=1,$L51-AU$13=-1)),IF($K51&lt;&gt;AU$12,-($C$5*$C$8/($I$48-$I51))*100000000/$AJ$10,"N.P."),"N.P.")</f>
        <v>N.P.</v>
      </c>
      <c r="AV51" s="175" t="str">
        <f aca="true" t="shared" si="114" ref="AV51:AV63">IF(AND($BK51-AU$79&lt;&gt;2,$BK51-AU$79&lt;&gt;-2,OR($L51-AV$13=1,$L51-AV$13=-1)),IF($K51&lt;&gt;AV$12,-($C$5*$C$8/($I$49-$I51))*100000000/$AJ$10,"N.P."),"N.P.")</f>
        <v>N.P.</v>
      </c>
      <c r="AW51" s="176" t="str">
        <f aca="true" t="shared" si="115" ref="AW51:AW63">IF(AND($BK51-AV$79&lt;&gt;2,$BK51-AV$79&lt;&gt;-2,OR($L51-AW$13=1,$L51-AW$13=-1)),IF($K51&lt;&gt;AW$12,-($C$5*$C$8/($I$50-$I51))*100000000/$AJ$10,"N.P."),"N.P.")</f>
        <v>N.P.</v>
      </c>
      <c r="AX51" s="192" t="str">
        <f aca="true" t="shared" si="116" ref="AX51:AX63">IF(AND($BK51-AW$79&lt;&gt;2,$BK51-AW$79&lt;&gt;-2,OR($L51-AX$13=1,$L51-AX$13=-1)),IF($K51&lt;&gt;AX$12,-($C$5*$C$8/($I$51-$I51))*100000000/$Q$10,"N.P."),"N.P.")</f>
        <v>N.P.</v>
      </c>
      <c r="AY51" s="168" t="str">
        <f aca="true" t="shared" si="117" ref="AY51:AY63">IF(AND($BK51-AX$79&lt;&gt;2,$BK51-AX$79&lt;&gt;-2,OR($L51-AY$13=1,$L51-AY$13=-1)),IF($K51&lt;&gt;AY$12,-($C$5*$C$8/($I$52-$I51))*100000000/$Q$10,"N.P."),"N.P.")</f>
        <v>N.P.</v>
      </c>
      <c r="AZ51" s="168" t="str">
        <f aca="true" t="shared" si="118" ref="AZ51:AZ63">IF(AND($BK51-AY$79&lt;&gt;2,$BK51-AY$79&lt;&gt;-2,OR($L51-AZ$13=1,$L51-AZ$13=-1)),IF($K51&lt;&gt;AZ$12,-($C$5*$C$8/($I$53-$I51))*100000000/$Q$10,"N.P."),"N.P.")</f>
        <v>N.P.</v>
      </c>
      <c r="BA51" s="168" t="str">
        <f aca="true" t="shared" si="119" ref="BA51:BA63">IF(AND($BK51-AZ$79&lt;&gt;2,$BK51-AZ$79&lt;&gt;-2,OR($L51-BA$13=1,$L51-BA$13=-1)),IF($K51&lt;&gt;BA$12,-($C$5*$C$8/($I$54-$I51))*100000000/$Q$10,"N.P."),"N.P.")</f>
        <v>N.P.</v>
      </c>
      <c r="BB51" s="168" t="str">
        <f aca="true" t="shared" si="120" ref="BB51:BB63">IF(AND($BK51-BA$79&lt;&gt;2,$BK51-BA$79&lt;&gt;-2,OR($L51-BB$13=1,$L51-BB$13=-1)),IF($K51&lt;&gt;BB$12,-($C$5*$C$8/($I$55-$I51))*100000000/$Q$10,"N.P."),"N.P.")</f>
        <v>N.P.</v>
      </c>
      <c r="BC51" s="168" t="str">
        <f aca="true" t="shared" si="121" ref="BC51:BC63">IF(AND($BK51-BB$79&lt;&gt;2,$BK51-BB$79&lt;&gt;-2,OR($L51-BC$13=1,$L51-BC$13=-1)),IF($K51&lt;&gt;BC$12,-($C$5*$C$8/($I$56-$I51))*100000000/$Q$10,"N.P."),"N.P.")</f>
        <v>N.P.</v>
      </c>
      <c r="BD51" s="168" t="str">
        <f aca="true" t="shared" si="122" ref="BD51:BD63">IF(AND($BK51-BC$79&lt;&gt;2,$BK51-BC$79&lt;&gt;-2,OR($L51-BD$13=1,$L51-BD$13=-1)),IF($K51&lt;&gt;BD$12,-($C$5*$C$8/($I$57-$I51))*100000000/$Q$10,"N.P."),"N.P.")</f>
        <v>N.P.</v>
      </c>
      <c r="BE51" s="168" t="str">
        <f aca="true" t="shared" si="123" ref="BE51:BE63">IF(AND($BK51-BD$79&lt;&gt;2,$BK51-BD$79&lt;&gt;-2,OR($L51-BE$13=1,$L51-BE$13=-1)),IF($K51&lt;&gt;BE$12,-($C$5*$C$8/($I$58-$I51))*100000000/$Q$10,"N.P."),"N.P.")</f>
        <v>N.P.</v>
      </c>
      <c r="BF51" s="168" t="str">
        <f aca="true" t="shared" si="124" ref="BF51:BF63">IF(AND($BK51-BE$79&lt;&gt;2,$BK51-BE$79&lt;&gt;-2,OR($L51-BF$13=1,$L51-BF$13=-1)),IF($K51&lt;&gt;BF$12,-($C$5*$C$8/($I$59-$I51))*100000000/$Q$10,"N.P."),"N.P.")</f>
        <v>N.P.</v>
      </c>
      <c r="BG51" s="168" t="str">
        <f aca="true" t="shared" si="125" ref="BG51:BG63">IF(AND($BK51-BF$79&lt;&gt;2,$BK51-BF$79&lt;&gt;-2,OR($L51-BG$13=1,$L51-BG$13=-1)),IF($K51&lt;&gt;BG$12,-($C$5*$C$8/($I$60-$I51))*100000000/$Q$10,"N.P."),"N.P.")</f>
        <v>N.P.</v>
      </c>
      <c r="BH51" s="175" t="str">
        <f aca="true" t="shared" si="126" ref="BH51:BH63">IF(AND($BK51-BG$79&lt;&gt;2,$BK51-BG$79&lt;&gt;-2,OR($L51-BH$13=1,$L51-BH$13=-1)),IF($K51&lt;&gt;BH$12,-($C$5*$C$8/($I$61-$I51))*100000000/$Q$10,"N.P."),"N.P.")</f>
        <v>N.P.</v>
      </c>
      <c r="BI51" s="175" t="str">
        <f aca="true" t="shared" si="127" ref="BI51:BI63">IF(AND($BK51-BH$79&lt;&gt;2,$BK51-BH$79&lt;&gt;-2,OR($L51-BI$13=1,$L51-BI$13=-1)),IF($K51&lt;&gt;BI$12,-($C$5*$C$8/($I$62-$I51))*100000000/$Q$10,"N.P."),"N.P.")</f>
        <v>N.P.</v>
      </c>
      <c r="BJ51" s="168" t="str">
        <f aca="true" t="shared" si="128" ref="BJ51:BJ63">IF(AND($BK51-BI$79&lt;&gt;2,$BK51-BI$79&lt;&gt;-2,OR($L51-BJ$13=1,$L51-BJ$13=-1)),IF($K51&lt;&gt;BJ$12,-($C$5*$C$8/($I$63-$I51))*100000000/$Q$10,"N.P."),"N.P.")</f>
        <v>N.P.</v>
      </c>
      <c r="BK51" s="20">
        <v>1</v>
      </c>
    </row>
    <row r="52" spans="1:63" ht="12.75">
      <c r="A52" s="46"/>
      <c r="B52" s="46"/>
      <c r="C52" s="699">
        <f>J52-J51</f>
        <v>-0.001033029577229172</v>
      </c>
      <c r="D52" s="378">
        <v>2.123E-09</v>
      </c>
      <c r="E52" s="138">
        <f>(((3.1415926535*(5/3)^(1/2)*O4*D52*C8)/C5)^2*A21)/(B16+A27)^3</f>
        <v>1101.9550536936094</v>
      </c>
      <c r="F52" s="379">
        <f>(((C5*C8*O4)/(8^(1/2)*3.1415926535*C10^2*C7*O3))^2)*(A21^3/(B16+A27))</f>
        <v>0.4776241385792503</v>
      </c>
      <c r="G52" s="645">
        <f>(2*3.142*$O$4^2*$C$8*$D52*K52)/(3*$C$5*$O$6*(L52+$A$27)^2)</f>
        <v>32.09172756457952</v>
      </c>
      <c r="H52" s="650">
        <f>(2*3.142*$C$8*$O$4*D52)/(3*$C$5*$A$27)</f>
        <v>36.65629642221828</v>
      </c>
      <c r="I52" s="284">
        <f>-$C$5*$H$6*$C$7^2/A21^2*(1+($B$30^2*$C$7^2/A21^2)*(A21/(B16)-(O4/O6)*(1-(B30^2*C7^2/2*K52^2)*(2*K52^2/L52^2-1)-A48*O4/O3)*A21*A27*G52/((B16+A27)*B16)+2*O4^2/(O3*O6)*A48*B48*(A21*A27*A44*H52/(B16*(B16+A27)^2))-0.75-E52-F52))</f>
        <v>-4.4408187531152724E-13</v>
      </c>
      <c r="J52" s="472">
        <f t="shared" si="43"/>
        <v>107440.33271703465</v>
      </c>
      <c r="K52" s="82">
        <v>7</v>
      </c>
      <c r="L52" s="83">
        <v>1.5</v>
      </c>
      <c r="M52" s="83" t="s">
        <v>8</v>
      </c>
      <c r="N52" s="684">
        <f t="shared" si="80"/>
        <v>930.7483026360272</v>
      </c>
      <c r="O52" s="158">
        <f t="shared" si="81"/>
        <v>3970.0490429028173</v>
      </c>
      <c r="P52" s="145" t="str">
        <f t="shared" si="82"/>
        <v>N.P.</v>
      </c>
      <c r="Q52" s="146" t="str">
        <f t="shared" si="83"/>
        <v>N.P.</v>
      </c>
      <c r="R52" s="158">
        <f t="shared" si="84"/>
        <v>10049.300639224024</v>
      </c>
      <c r="S52" s="85" t="str">
        <f t="shared" si="85"/>
        <v>N.P.</v>
      </c>
      <c r="T52" s="85" t="str">
        <f t="shared" si="86"/>
        <v>N.P.</v>
      </c>
      <c r="U52" s="172">
        <f t="shared" si="87"/>
        <v>10049.435192102676</v>
      </c>
      <c r="V52" s="173">
        <f t="shared" si="88"/>
        <v>10049.399116451294</v>
      </c>
      <c r="W52" s="188">
        <f t="shared" si="89"/>
        <v>21655.11077815675</v>
      </c>
      <c r="X52" s="175" t="str">
        <f t="shared" si="90"/>
        <v>N.P.</v>
      </c>
      <c r="Y52" s="175" t="str">
        <f t="shared" si="91"/>
        <v>N.P.</v>
      </c>
      <c r="Z52" s="184">
        <f t="shared" si="92"/>
        <v>21655.392511829355</v>
      </c>
      <c r="AA52" s="184">
        <f t="shared" si="93"/>
        <v>21655.321920376064</v>
      </c>
      <c r="AB52" s="175" t="str">
        <f t="shared" si="94"/>
        <v>N.P.</v>
      </c>
      <c r="AC52" s="176" t="str">
        <f t="shared" si="95"/>
        <v>N.P.</v>
      </c>
      <c r="AD52" s="188">
        <f t="shared" si="96"/>
        <v>46524.69523278638</v>
      </c>
      <c r="AE52" s="175" t="str">
        <f t="shared" si="97"/>
        <v>N.P.</v>
      </c>
      <c r="AF52" s="175" t="str">
        <f t="shared" si="98"/>
        <v>N.P.</v>
      </c>
      <c r="AG52" s="184">
        <f t="shared" si="99"/>
        <v>46525.40783342189</v>
      </c>
      <c r="AH52" s="184">
        <f t="shared" si="100"/>
        <v>46525.23196786445</v>
      </c>
      <c r="AI52" s="175" t="str">
        <f t="shared" si="101"/>
        <v>N.P.</v>
      </c>
      <c r="AJ52" s="175" t="str">
        <f t="shared" si="102"/>
        <v>N.P.</v>
      </c>
      <c r="AK52" s="175" t="str">
        <f t="shared" si="103"/>
        <v>N.P.</v>
      </c>
      <c r="AL52" s="176" t="str">
        <f t="shared" si="104"/>
        <v>N.P.</v>
      </c>
      <c r="AM52" s="188">
        <f t="shared" si="105"/>
        <v>123684.31863164886</v>
      </c>
      <c r="AN52" s="175" t="str">
        <f t="shared" si="106"/>
        <v>N.P.</v>
      </c>
      <c r="AO52" s="175" t="str">
        <f t="shared" si="107"/>
        <v>N.P.</v>
      </c>
      <c r="AP52" s="184">
        <f t="shared" si="108"/>
        <v>123687.20578677021</v>
      </c>
      <c r="AQ52" s="184">
        <f t="shared" si="109"/>
        <v>123686.49136612292</v>
      </c>
      <c r="AR52" s="175" t="str">
        <f t="shared" si="110"/>
        <v>N.P.</v>
      </c>
      <c r="AS52" s="175" t="str">
        <f t="shared" si="111"/>
        <v>N.P.</v>
      </c>
      <c r="AT52" s="175" t="str">
        <f t="shared" si="112"/>
        <v>N.P.</v>
      </c>
      <c r="AU52" s="175" t="str">
        <f t="shared" si="113"/>
        <v>N.P.</v>
      </c>
      <c r="AV52" s="175" t="str">
        <f t="shared" si="114"/>
        <v>N.P.</v>
      </c>
      <c r="AW52" s="176" t="str">
        <f t="shared" si="115"/>
        <v>N.P.</v>
      </c>
      <c r="AX52" s="192" t="str">
        <f t="shared" si="116"/>
        <v>N.P.</v>
      </c>
      <c r="AY52" s="175" t="str">
        <f t="shared" si="117"/>
        <v>N.P.</v>
      </c>
      <c r="AZ52" s="175" t="str">
        <f t="shared" si="118"/>
        <v>N.P.</v>
      </c>
      <c r="BA52" s="175" t="str">
        <f t="shared" si="119"/>
        <v>N.P.</v>
      </c>
      <c r="BB52" s="175" t="str">
        <f t="shared" si="120"/>
        <v>N.P.</v>
      </c>
      <c r="BC52" s="175" t="str">
        <f t="shared" si="121"/>
        <v>N.P.</v>
      </c>
      <c r="BD52" s="175" t="str">
        <f t="shared" si="122"/>
        <v>N.P.</v>
      </c>
      <c r="BE52" s="175" t="str">
        <f t="shared" si="123"/>
        <v>N.P.</v>
      </c>
      <c r="BF52" s="175" t="str">
        <f t="shared" si="124"/>
        <v>N.P.</v>
      </c>
      <c r="BG52" s="175" t="str">
        <f t="shared" si="125"/>
        <v>N.P.</v>
      </c>
      <c r="BH52" s="175" t="str">
        <f t="shared" si="126"/>
        <v>N.P.</v>
      </c>
      <c r="BI52" s="175" t="str">
        <f t="shared" si="127"/>
        <v>N.P.</v>
      </c>
      <c r="BJ52" s="175" t="str">
        <f t="shared" si="128"/>
        <v>N.P.</v>
      </c>
      <c r="BK52" s="20">
        <v>2</v>
      </c>
    </row>
    <row r="53" spans="1:63" ht="12.75">
      <c r="A53" s="46"/>
      <c r="B53" s="46"/>
      <c r="C53" s="699"/>
      <c r="D53" s="378">
        <v>7.971E-10</v>
      </c>
      <c r="E53" s="138">
        <f>(((3.1415926535*(5/3)^(1/2)*O4*D53*C8)/C5)^2*A21)/(B16+A28)^3</f>
        <v>1242.7377700647542</v>
      </c>
      <c r="F53" s="379">
        <f>(((C5*C8*O4)/(8^(1/2)*3.1415926535*C10^2*C7*O3))^2)*(A21^3/(B16+A28))</f>
        <v>0.9552482771585006</v>
      </c>
      <c r="G53" s="645">
        <f>(2*3.142*$O$4^2*$C$8*$D53*K53)/(3*$C$5*$O$6*(L53+$A$28)^2)</f>
        <v>48.19654459110002</v>
      </c>
      <c r="H53" s="650">
        <f aca="true" t="shared" si="129" ref="H53:H63">(2*3.142*$C$8*$O$4*D53)/(3*$C$5*$A$28)</f>
        <v>-13.762945773975598</v>
      </c>
      <c r="I53" s="284">
        <f>-$C$5*$H$6*$C$7^2/A21^2*(1+($B$30^2*$C$7^2/A21^2)*(A21/(B16)-(O4/O6)*(1-(B30^2*C7^2/2*K53^2)*(2*K53^2/L53^2-1)-A48*O4/O3)*A21*A28*G53/((B16+A28)*B16)+2*O4^2/(O3*O6)*A48*B48*(A21*A28*A45*H53/(B16*(B16+A28)^2))-0.75-E53-F53))</f>
        <v>-4.440818231364816E-13</v>
      </c>
      <c r="J53" s="472">
        <f t="shared" si="43"/>
        <v>107440.33297968969</v>
      </c>
      <c r="K53" s="82">
        <v>7</v>
      </c>
      <c r="L53" s="83">
        <v>1.5</v>
      </c>
      <c r="M53" s="83" t="s">
        <v>9</v>
      </c>
      <c r="N53" s="684">
        <f t="shared" si="80"/>
        <v>930.7483003606644</v>
      </c>
      <c r="O53" s="158">
        <f t="shared" si="81"/>
        <v>3970.0490014932443</v>
      </c>
      <c r="P53" s="145" t="str">
        <f t="shared" si="82"/>
        <v>N.P.</v>
      </c>
      <c r="Q53" s="146" t="str">
        <f t="shared" si="83"/>
        <v>N.P.</v>
      </c>
      <c r="R53" s="158">
        <f t="shared" si="84"/>
        <v>10049.300373899823</v>
      </c>
      <c r="S53" s="85" t="str">
        <f t="shared" si="85"/>
        <v>N.P.</v>
      </c>
      <c r="T53" s="85" t="str">
        <f t="shared" si="86"/>
        <v>N.P.</v>
      </c>
      <c r="U53" s="85" t="str">
        <f t="shared" si="87"/>
        <v>N.P.</v>
      </c>
      <c r="V53" s="173">
        <f t="shared" si="88"/>
        <v>10049.398851121892</v>
      </c>
      <c r="W53" s="188">
        <f t="shared" si="89"/>
        <v>21655.109546114876</v>
      </c>
      <c r="X53" s="175" t="str">
        <f t="shared" si="90"/>
        <v>N.P.</v>
      </c>
      <c r="Y53" s="175" t="str">
        <f t="shared" si="91"/>
        <v>N.P.</v>
      </c>
      <c r="Z53" s="175" t="str">
        <f t="shared" si="92"/>
        <v>N.P.</v>
      </c>
      <c r="AA53" s="184">
        <f t="shared" si="93"/>
        <v>21655.320688310152</v>
      </c>
      <c r="AB53" s="175" t="str">
        <f t="shared" si="94"/>
        <v>N.P.</v>
      </c>
      <c r="AC53" s="176" t="str">
        <f t="shared" si="95"/>
        <v>N.P.</v>
      </c>
      <c r="AD53" s="188">
        <f t="shared" si="96"/>
        <v>46524.689545938854</v>
      </c>
      <c r="AE53" s="175" t="str">
        <f t="shared" si="97"/>
        <v>N.P.</v>
      </c>
      <c r="AF53" s="175" t="str">
        <f t="shared" si="98"/>
        <v>N.P.</v>
      </c>
      <c r="AG53" s="175" t="str">
        <f t="shared" si="99"/>
        <v>N.P.</v>
      </c>
      <c r="AH53" s="184">
        <f t="shared" si="100"/>
        <v>46525.22628088571</v>
      </c>
      <c r="AI53" s="175" t="str">
        <f t="shared" si="101"/>
        <v>N.P.</v>
      </c>
      <c r="AJ53" s="175" t="str">
        <f t="shared" si="102"/>
        <v>N.P.</v>
      </c>
      <c r="AK53" s="175" t="str">
        <f t="shared" si="103"/>
        <v>N.P.</v>
      </c>
      <c r="AL53" s="176" t="str">
        <f t="shared" si="104"/>
        <v>N.P.</v>
      </c>
      <c r="AM53" s="188">
        <f t="shared" si="105"/>
        <v>123684.27844019866</v>
      </c>
      <c r="AN53" s="175" t="str">
        <f t="shared" si="106"/>
        <v>N.P.</v>
      </c>
      <c r="AO53" s="175" t="str">
        <f t="shared" si="107"/>
        <v>N.P.</v>
      </c>
      <c r="AP53" s="175" t="str">
        <f t="shared" si="108"/>
        <v>N.P.</v>
      </c>
      <c r="AQ53" s="184">
        <f t="shared" si="109"/>
        <v>123686.45117326063</v>
      </c>
      <c r="AR53" s="175" t="str">
        <f t="shared" si="110"/>
        <v>N.P.</v>
      </c>
      <c r="AS53" s="175" t="str">
        <f t="shared" si="111"/>
        <v>N.P.</v>
      </c>
      <c r="AT53" s="175" t="str">
        <f t="shared" si="112"/>
        <v>N.P.</v>
      </c>
      <c r="AU53" s="175" t="str">
        <f t="shared" si="113"/>
        <v>N.P.</v>
      </c>
      <c r="AV53" s="175" t="str">
        <f t="shared" si="114"/>
        <v>N.P.</v>
      </c>
      <c r="AW53" s="176" t="str">
        <f t="shared" si="115"/>
        <v>N.P.</v>
      </c>
      <c r="AX53" s="192" t="str">
        <f t="shared" si="116"/>
        <v>N.P.</v>
      </c>
      <c r="AY53" s="175" t="str">
        <f t="shared" si="117"/>
        <v>N.P.</v>
      </c>
      <c r="AZ53" s="175" t="str">
        <f t="shared" si="118"/>
        <v>N.P.</v>
      </c>
      <c r="BA53" s="175" t="str">
        <f t="shared" si="119"/>
        <v>N.P.</v>
      </c>
      <c r="BB53" s="175" t="str">
        <f t="shared" si="120"/>
        <v>N.P.</v>
      </c>
      <c r="BC53" s="175" t="str">
        <f t="shared" si="121"/>
        <v>N.P.</v>
      </c>
      <c r="BD53" s="175" t="str">
        <f t="shared" si="122"/>
        <v>N.P.</v>
      </c>
      <c r="BE53" s="175" t="str">
        <f t="shared" si="123"/>
        <v>N.P.</v>
      </c>
      <c r="BF53" s="175" t="str">
        <f t="shared" si="124"/>
        <v>N.P.</v>
      </c>
      <c r="BG53" s="175" t="str">
        <f t="shared" si="125"/>
        <v>N.P.</v>
      </c>
      <c r="BH53" s="175" t="str">
        <f t="shared" si="126"/>
        <v>N.P.</v>
      </c>
      <c r="BI53" s="175" t="str">
        <f t="shared" si="127"/>
        <v>N.P.</v>
      </c>
      <c r="BJ53" s="175" t="str">
        <f t="shared" si="128"/>
        <v>N.P.</v>
      </c>
      <c r="BK53" s="20">
        <v>1</v>
      </c>
    </row>
    <row r="54" spans="1:63" ht="12.75">
      <c r="A54" s="46"/>
      <c r="B54" s="46"/>
      <c r="C54" s="699">
        <f>J54-J55</f>
        <v>0.001811104579246603</v>
      </c>
      <c r="D54" s="378">
        <v>3.942E-09</v>
      </c>
      <c r="E54" s="138">
        <f>(((3.1415926535*(5/3)^(1/2)*O4*D54*C8)/C5)^2*A21)/(B17+A27)^3</f>
        <v>1125.7017865916687</v>
      </c>
      <c r="F54" s="379">
        <f>(((C5*C8*O4)/(8^(1/2)*3.1415926535*C10^2*C7*O3))^2)*(A21^3/(B17+A27))</f>
        <v>0.31841609238616686</v>
      </c>
      <c r="G54" s="645">
        <f>(2*3.142*$O$4^2*$C$8*$D54*K54)/(3*$C$5*$O$6*(L54+$A$27)^2)</f>
        <v>26.483611254424552</v>
      </c>
      <c r="H54" s="650">
        <f>(2*3.142*$C$8*$O$4*D54)/(3*$C$5*$A$27)</f>
        <v>68.06364601808029</v>
      </c>
      <c r="I54" s="284">
        <f>-$C$5*$H$6*$C$7^2/A21^2*(1+($B$30^2*$C$7^2/A21^2)*(A21/(B17)-(O4/O6)*(1-(B30^2*C7^2/2*K54^2)*(2*K54^2/L54^2-1)-A48*O4/O3)*A21*A27*G54/((B17+A27)*B17)+2*O4^2/(O3*O6)*A48*B48*(A21*A27*A44*H54/(B17*(B17+A27)^2))-0.75-E54-F54))</f>
        <v>-4.440807661163386E-13</v>
      </c>
      <c r="J54" s="472">
        <f t="shared" si="43"/>
        <v>107440.33830084806</v>
      </c>
      <c r="K54" s="82">
        <v>7</v>
      </c>
      <c r="L54" s="83">
        <v>2.5</v>
      </c>
      <c r="M54" s="83" t="s">
        <v>10</v>
      </c>
      <c r="N54" s="683" t="str">
        <f t="shared" si="80"/>
        <v>N.P.</v>
      </c>
      <c r="O54" s="144" t="str">
        <f t="shared" si="81"/>
        <v>N.P.</v>
      </c>
      <c r="P54" s="153">
        <f t="shared" si="82"/>
        <v>3970.1001663056054</v>
      </c>
      <c r="Q54" s="146" t="str">
        <f t="shared" si="83"/>
        <v>N.P.</v>
      </c>
      <c r="R54" s="159" t="str">
        <f t="shared" si="84"/>
        <v>N.P.</v>
      </c>
      <c r="S54" s="172">
        <f t="shared" si="85"/>
        <v>10049.390616525578</v>
      </c>
      <c r="T54" s="85" t="str">
        <f t="shared" si="86"/>
        <v>N.P.</v>
      </c>
      <c r="U54" s="85" t="str">
        <f t="shared" si="87"/>
        <v>N.P.</v>
      </c>
      <c r="V54" s="160" t="str">
        <f t="shared" si="88"/>
        <v>N.P.</v>
      </c>
      <c r="W54" s="174" t="str">
        <f t="shared" si="89"/>
        <v>N.P.</v>
      </c>
      <c r="X54" s="184">
        <f t="shared" si="90"/>
        <v>21655.266497839602</v>
      </c>
      <c r="Y54" s="175" t="str">
        <f t="shared" si="91"/>
        <v>N.P.</v>
      </c>
      <c r="Z54" s="175" t="str">
        <f t="shared" si="92"/>
        <v>N.P.</v>
      </c>
      <c r="AA54" s="175" t="str">
        <f t="shared" si="93"/>
        <v>N.P.</v>
      </c>
      <c r="AB54" s="184">
        <f t="shared" si="94"/>
        <v>21655.40416072587</v>
      </c>
      <c r="AC54" s="185">
        <f t="shared" si="95"/>
        <v>21655.36564972362</v>
      </c>
      <c r="AD54" s="174" t="str">
        <f t="shared" si="96"/>
        <v>N.P.</v>
      </c>
      <c r="AE54" s="184">
        <f t="shared" si="97"/>
        <v>46524.99956290269</v>
      </c>
      <c r="AF54" s="175" t="str">
        <f t="shared" si="98"/>
        <v>N.P.</v>
      </c>
      <c r="AG54" s="175" t="str">
        <f t="shared" si="99"/>
        <v>N.P.</v>
      </c>
      <c r="AH54" s="175" t="str">
        <f t="shared" si="100"/>
        <v>N.P.</v>
      </c>
      <c r="AI54" s="184">
        <f t="shared" si="101"/>
        <v>46525.38263965565</v>
      </c>
      <c r="AJ54" s="184">
        <f t="shared" si="102"/>
        <v>46525.2926786297</v>
      </c>
      <c r="AK54" s="175" t="str">
        <f t="shared" si="103"/>
        <v>N.P.</v>
      </c>
      <c r="AL54" s="176" t="str">
        <f t="shared" si="104"/>
        <v>N.P.</v>
      </c>
      <c r="AM54" s="174" t="str">
        <f t="shared" si="105"/>
        <v>N.P.</v>
      </c>
      <c r="AN54" s="184">
        <f t="shared" si="106"/>
        <v>123685.31919854721</v>
      </c>
      <c r="AO54" s="175" t="str">
        <f t="shared" si="107"/>
        <v>N.P.</v>
      </c>
      <c r="AP54" s="175" t="str">
        <f t="shared" si="108"/>
        <v>N.P.</v>
      </c>
      <c r="AQ54" s="175" t="str">
        <f t="shared" si="109"/>
        <v>N.P.</v>
      </c>
      <c r="AR54" s="184">
        <f t="shared" si="110"/>
        <v>123686.7129927865</v>
      </c>
      <c r="AS54" s="184">
        <f t="shared" si="111"/>
        <v>123686.33111173773</v>
      </c>
      <c r="AT54" s="175" t="str">
        <f t="shared" si="112"/>
        <v>N.P.</v>
      </c>
      <c r="AU54" s="175" t="str">
        <f t="shared" si="113"/>
        <v>N.P.</v>
      </c>
      <c r="AV54" s="175" t="str">
        <f t="shared" si="114"/>
        <v>N.P.</v>
      </c>
      <c r="AW54" s="176" t="str">
        <f t="shared" si="115"/>
        <v>N.P.</v>
      </c>
      <c r="AX54" s="192" t="str">
        <f t="shared" si="116"/>
        <v>N.P.</v>
      </c>
      <c r="AY54" s="175" t="str">
        <f t="shared" si="117"/>
        <v>N.P.</v>
      </c>
      <c r="AZ54" s="175" t="str">
        <f t="shared" si="118"/>
        <v>N.P.</v>
      </c>
      <c r="BA54" s="175" t="str">
        <f t="shared" si="119"/>
        <v>N.P.</v>
      </c>
      <c r="BB54" s="175" t="str">
        <f t="shared" si="120"/>
        <v>N.P.</v>
      </c>
      <c r="BC54" s="175" t="str">
        <f t="shared" si="121"/>
        <v>N.P.</v>
      </c>
      <c r="BD54" s="175" t="str">
        <f t="shared" si="122"/>
        <v>N.P.</v>
      </c>
      <c r="BE54" s="175" t="str">
        <f t="shared" si="123"/>
        <v>N.P.</v>
      </c>
      <c r="BF54" s="175" t="str">
        <f t="shared" si="124"/>
        <v>N.P.</v>
      </c>
      <c r="BG54" s="175" t="str">
        <f t="shared" si="125"/>
        <v>N.P.</v>
      </c>
      <c r="BH54" s="175" t="str">
        <f t="shared" si="126"/>
        <v>N.P.</v>
      </c>
      <c r="BI54" s="175" t="str">
        <f t="shared" si="127"/>
        <v>N.P.</v>
      </c>
      <c r="BJ54" s="175" t="str">
        <f t="shared" si="128"/>
        <v>N.P.</v>
      </c>
      <c r="BK54" s="20">
        <v>3</v>
      </c>
    </row>
    <row r="55" spans="1:63" ht="12.75">
      <c r="A55" s="46"/>
      <c r="B55" s="46"/>
      <c r="C55" s="699"/>
      <c r="D55" s="378">
        <v>2.1776E-09</v>
      </c>
      <c r="E55" s="138">
        <f>(((3.1415926535*(5/3)^(1/2)*O4*D55*C8)/C5)^2*A21)/(B17+A28)^3</f>
        <v>1159.3647944739919</v>
      </c>
      <c r="F55" s="379">
        <f>(((C5*C8*O4)/(8^(1/2)*3.1415926535*C10^2*C7*O3))^2)*(A21^3/(B17+A28))</f>
        <v>0.4776241385792503</v>
      </c>
      <c r="G55" s="645">
        <f>(2*3.142*$O$4^2*$C$8*$D55*K55)/(3*$C$5*$O$6*(L55+$A$28)^2)</f>
        <v>32.91707298380988</v>
      </c>
      <c r="H55" s="650">
        <f t="shared" si="129"/>
        <v>-37.5990348982678</v>
      </c>
      <c r="I55" s="284">
        <f>-$C$5*$H$6*$C$7^2/A21^2*(1+($B$30^2*$C$7^2/A21^2)*(A21/(B17)-(O4/O6)*(1-(B30^2*C7^2/2*K55^2)*(2*K55^2/L55^2-1)-A48*O4/O3)*A21*A28*G55/((B17+A28)*B17)+2*O4^2/(O3*O6)*A48*B48*(A21*A28*A45*H55/(B17*(B17+A28)^2))-0.75-E55-F55))</f>
        <v>-4.4408112588274424E-13</v>
      </c>
      <c r="J55" s="472">
        <f t="shared" si="43"/>
        <v>107440.33648974348</v>
      </c>
      <c r="K55" s="82">
        <v>7</v>
      </c>
      <c r="L55" s="83">
        <v>2.5</v>
      </c>
      <c r="M55" s="83" t="s">
        <v>11</v>
      </c>
      <c r="N55" s="683" t="str">
        <f t="shared" si="80"/>
        <v>N.P.</v>
      </c>
      <c r="O55" s="144" t="str">
        <f t="shared" si="81"/>
        <v>N.P.</v>
      </c>
      <c r="P55" s="172">
        <f t="shared" si="82"/>
        <v>3970.1004518474365</v>
      </c>
      <c r="Q55" s="154">
        <f t="shared" si="83"/>
        <v>3970.042885409896</v>
      </c>
      <c r="R55" s="159" t="str">
        <f t="shared" si="84"/>
        <v>N.P.</v>
      </c>
      <c r="S55" s="172">
        <f t="shared" si="85"/>
        <v>10049.39244606808</v>
      </c>
      <c r="T55" s="172">
        <f t="shared" si="86"/>
        <v>10049.2861973321</v>
      </c>
      <c r="U55" s="85" t="str">
        <f t="shared" si="87"/>
        <v>N.P.</v>
      </c>
      <c r="V55" s="160" t="str">
        <f t="shared" si="88"/>
        <v>N.P.</v>
      </c>
      <c r="W55" s="174" t="str">
        <f t="shared" si="89"/>
        <v>N.P.</v>
      </c>
      <c r="X55" s="184">
        <f t="shared" si="90"/>
        <v>21655.27499335401</v>
      </c>
      <c r="Y55" s="184">
        <f t="shared" si="91"/>
        <v>21655.072540898193</v>
      </c>
      <c r="Z55" s="175" t="str">
        <f t="shared" si="92"/>
        <v>N.P.</v>
      </c>
      <c r="AA55" s="175" t="str">
        <f t="shared" si="93"/>
        <v>N.P.</v>
      </c>
      <c r="AB55" s="175" t="str">
        <f t="shared" si="94"/>
        <v>N.P.</v>
      </c>
      <c r="AC55" s="185">
        <f t="shared" si="95"/>
        <v>21655.374145315825</v>
      </c>
      <c r="AD55" s="174" t="str">
        <f t="shared" si="96"/>
        <v>N.P.</v>
      </c>
      <c r="AE55" s="184">
        <f t="shared" si="97"/>
        <v>46525.03877638894</v>
      </c>
      <c r="AF55" s="184">
        <f t="shared" si="98"/>
        <v>46524.56458586915</v>
      </c>
      <c r="AG55" s="175" t="str">
        <f t="shared" si="99"/>
        <v>N.P.</v>
      </c>
      <c r="AH55" s="175" t="str">
        <f t="shared" si="100"/>
        <v>N.P.</v>
      </c>
      <c r="AI55" s="175" t="str">
        <f t="shared" si="101"/>
        <v>N.P.</v>
      </c>
      <c r="AJ55" s="184">
        <f t="shared" si="102"/>
        <v>46525.33189261007</v>
      </c>
      <c r="AK55" s="175" t="str">
        <f t="shared" si="103"/>
        <v>N.P.</v>
      </c>
      <c r="AL55" s="176" t="str">
        <f t="shared" si="104"/>
        <v>N.P.</v>
      </c>
      <c r="AM55" s="174" t="str">
        <f t="shared" si="105"/>
        <v>N.P.</v>
      </c>
      <c r="AN55" s="184">
        <f t="shared" si="106"/>
        <v>123685.59633878621</v>
      </c>
      <c r="AO55" s="184">
        <f t="shared" si="107"/>
        <v>123683.54245486287</v>
      </c>
      <c r="AP55" s="175" t="str">
        <f t="shared" si="108"/>
        <v>N.P.</v>
      </c>
      <c r="AQ55" s="175" t="str">
        <f t="shared" si="109"/>
        <v>N.P.</v>
      </c>
      <c r="AR55" s="175" t="str">
        <f t="shared" si="110"/>
        <v>N.P.</v>
      </c>
      <c r="AS55" s="184">
        <f t="shared" si="111"/>
        <v>123686.6082565115</v>
      </c>
      <c r="AT55" s="175" t="str">
        <f t="shared" si="112"/>
        <v>N.P.</v>
      </c>
      <c r="AU55" s="175" t="str">
        <f t="shared" si="113"/>
        <v>N.P.</v>
      </c>
      <c r="AV55" s="175" t="str">
        <f t="shared" si="114"/>
        <v>N.P.</v>
      </c>
      <c r="AW55" s="176" t="str">
        <f t="shared" si="115"/>
        <v>N.P.</v>
      </c>
      <c r="AX55" s="192" t="str">
        <f t="shared" si="116"/>
        <v>N.P.</v>
      </c>
      <c r="AY55" s="175" t="str">
        <f t="shared" si="117"/>
        <v>N.P.</v>
      </c>
      <c r="AZ55" s="175" t="str">
        <f t="shared" si="118"/>
        <v>N.P.</v>
      </c>
      <c r="BA55" s="175" t="str">
        <f t="shared" si="119"/>
        <v>N.P.</v>
      </c>
      <c r="BB55" s="175" t="str">
        <f t="shared" si="120"/>
        <v>N.P.</v>
      </c>
      <c r="BC55" s="175" t="str">
        <f t="shared" si="121"/>
        <v>N.P.</v>
      </c>
      <c r="BD55" s="175" t="str">
        <f t="shared" si="122"/>
        <v>N.P.</v>
      </c>
      <c r="BE55" s="175" t="str">
        <f t="shared" si="123"/>
        <v>N.P.</v>
      </c>
      <c r="BF55" s="175" t="str">
        <f t="shared" si="124"/>
        <v>N.P.</v>
      </c>
      <c r="BG55" s="175" t="str">
        <f t="shared" si="125"/>
        <v>N.P.</v>
      </c>
      <c r="BH55" s="175" t="str">
        <f t="shared" si="126"/>
        <v>N.P.</v>
      </c>
      <c r="BI55" s="175" t="str">
        <f t="shared" si="127"/>
        <v>N.P.</v>
      </c>
      <c r="BJ55" s="175" t="str">
        <f t="shared" si="128"/>
        <v>N.P.</v>
      </c>
      <c r="BK55" s="20">
        <v>2</v>
      </c>
    </row>
    <row r="56" spans="1:63" ht="12.75">
      <c r="A56" s="46"/>
      <c r="B56" s="46"/>
      <c r="C56" s="699">
        <f>J56-J57</f>
        <v>0.0009122998599195853</v>
      </c>
      <c r="D56" s="378">
        <v>6.0866E-09</v>
      </c>
      <c r="E56" s="138">
        <f>(((3.1415926535*(5/3)^(1/2)*O4*D56*C8)/C5)^2*A21)/(B18+A27)^3</f>
        <v>1132.2007258614858</v>
      </c>
      <c r="F56" s="379">
        <f>(((C5*C8*O4)/(8^(1/2)*3.1415926535*C10^2*C7*O3))^2)*(A21^3/(B18+A27))</f>
        <v>0.23881206928962515</v>
      </c>
      <c r="G56" s="645">
        <f>(2*3.142*$O$4^2*$C$8*$D56*K56)/(3*$C$5*$O$6*(L56+$A$27)^2)</f>
        <v>23.001590790693562</v>
      </c>
      <c r="H56" s="650">
        <f>(2*3.142*$C$8*$O$4*D56)/(3*$C$5*$A$27)</f>
        <v>105.09289392532916</v>
      </c>
      <c r="I56" s="284">
        <f>-$C$5*$H$6*$C$7^2/A21^2*(1+($B$30^2*$C$7^2/A21^2)*(A21/(B18)-(O4/O6)*(1-(B30^2*C7^2/2*K56^2)*(2*K56^2/L56^2-1)-A48*O4/O3)*A21*A27*G56/((B18+A27)*B18)+2*O4^2/(O3*O6)*A48*B48*(A21*A27*A44*H56/(B18*(B18+A27)^2))-0.75-E56-F56))</f>
        <v>-4.4408036892930233E-13</v>
      </c>
      <c r="J56" s="472">
        <f t="shared" si="43"/>
        <v>107440.3403003323</v>
      </c>
      <c r="K56" s="82">
        <v>7</v>
      </c>
      <c r="L56" s="83">
        <v>3.5</v>
      </c>
      <c r="M56" s="83" t="s">
        <v>12</v>
      </c>
      <c r="N56" s="683" t="str">
        <f t="shared" si="80"/>
        <v>N.P.</v>
      </c>
      <c r="O56" s="144" t="str">
        <f t="shared" si="81"/>
        <v>N.P.</v>
      </c>
      <c r="P56" s="145" t="str">
        <f t="shared" si="82"/>
        <v>N.P.</v>
      </c>
      <c r="Q56" s="146" t="str">
        <f t="shared" si="83"/>
        <v>N.P.</v>
      </c>
      <c r="R56" s="159" t="str">
        <f t="shared" si="84"/>
        <v>N.P.</v>
      </c>
      <c r="S56" s="85" t="str">
        <f t="shared" si="85"/>
        <v>N.P.</v>
      </c>
      <c r="T56" s="85" t="str">
        <f t="shared" si="86"/>
        <v>N.P.</v>
      </c>
      <c r="U56" s="153">
        <f t="shared" si="87"/>
        <v>10049.427531542642</v>
      </c>
      <c r="V56" s="160" t="str">
        <f t="shared" si="88"/>
        <v>N.P.</v>
      </c>
      <c r="W56" s="174" t="str">
        <f t="shared" si="89"/>
        <v>N.P.</v>
      </c>
      <c r="X56" s="175" t="str">
        <f t="shared" si="90"/>
        <v>N.P.</v>
      </c>
      <c r="Y56" s="175" t="str">
        <f t="shared" si="91"/>
        <v>N.P.</v>
      </c>
      <c r="Z56" s="184">
        <f t="shared" si="92"/>
        <v>21655.35693981764</v>
      </c>
      <c r="AA56" s="175" t="str">
        <f t="shared" si="93"/>
        <v>N.P.</v>
      </c>
      <c r="AB56" s="175" t="str">
        <f t="shared" si="94"/>
        <v>N.P.</v>
      </c>
      <c r="AC56" s="176" t="str">
        <f t="shared" si="95"/>
        <v>N.P.</v>
      </c>
      <c r="AD56" s="174" t="str">
        <f t="shared" si="96"/>
        <v>N.P.</v>
      </c>
      <c r="AE56" s="175" t="str">
        <f t="shared" si="97"/>
        <v>N.P.</v>
      </c>
      <c r="AF56" s="175" t="str">
        <f t="shared" si="98"/>
        <v>N.P.</v>
      </c>
      <c r="AG56" s="184">
        <f t="shared" si="99"/>
        <v>46525.24364000023</v>
      </c>
      <c r="AH56" s="175" t="str">
        <f t="shared" si="100"/>
        <v>N.P.</v>
      </c>
      <c r="AI56" s="175" t="str">
        <f t="shared" si="101"/>
        <v>N.P.</v>
      </c>
      <c r="AJ56" s="175" t="str">
        <f t="shared" si="102"/>
        <v>N.P.</v>
      </c>
      <c r="AK56" s="184">
        <f t="shared" si="103"/>
        <v>46525.38186809254</v>
      </c>
      <c r="AL56" s="185">
        <f t="shared" si="104"/>
        <v>46525.32830306246</v>
      </c>
      <c r="AM56" s="174" t="str">
        <f t="shared" si="105"/>
        <v>N.P.</v>
      </c>
      <c r="AN56" s="175" t="str">
        <f t="shared" si="106"/>
        <v>N.P.</v>
      </c>
      <c r="AO56" s="175" t="str">
        <f t="shared" si="107"/>
        <v>N.P.</v>
      </c>
      <c r="AP56" s="184">
        <f t="shared" si="108"/>
        <v>123686.04534764435</v>
      </c>
      <c r="AQ56" s="175" t="str">
        <f t="shared" si="109"/>
        <v>N.P.</v>
      </c>
      <c r="AR56" s="175" t="str">
        <f t="shared" si="110"/>
        <v>N.P.</v>
      </c>
      <c r="AS56" s="175" t="str">
        <f t="shared" si="111"/>
        <v>N.P.</v>
      </c>
      <c r="AT56" s="184">
        <f t="shared" si="112"/>
        <v>123686.61085838711</v>
      </c>
      <c r="AU56" s="184">
        <f t="shared" si="113"/>
        <v>123686.44629510767</v>
      </c>
      <c r="AV56" s="175" t="str">
        <f t="shared" si="114"/>
        <v>N.P.</v>
      </c>
      <c r="AW56" s="176" t="str">
        <f t="shared" si="115"/>
        <v>N.P.</v>
      </c>
      <c r="AX56" s="192" t="str">
        <f t="shared" si="116"/>
        <v>N.P.</v>
      </c>
      <c r="AY56" s="175" t="str">
        <f t="shared" si="117"/>
        <v>N.P.</v>
      </c>
      <c r="AZ56" s="175" t="str">
        <f t="shared" si="118"/>
        <v>N.P.</v>
      </c>
      <c r="BA56" s="175" t="str">
        <f t="shared" si="119"/>
        <v>N.P.</v>
      </c>
      <c r="BB56" s="175" t="str">
        <f t="shared" si="120"/>
        <v>N.P.</v>
      </c>
      <c r="BC56" s="175" t="str">
        <f t="shared" si="121"/>
        <v>N.P.</v>
      </c>
      <c r="BD56" s="175" t="str">
        <f t="shared" si="122"/>
        <v>N.P.</v>
      </c>
      <c r="BE56" s="175" t="str">
        <f t="shared" si="123"/>
        <v>N.P.</v>
      </c>
      <c r="BF56" s="175" t="str">
        <f t="shared" si="124"/>
        <v>N.P.</v>
      </c>
      <c r="BG56" s="175" t="str">
        <f t="shared" si="125"/>
        <v>N.P.</v>
      </c>
      <c r="BH56" s="175" t="str">
        <f t="shared" si="126"/>
        <v>N.P.</v>
      </c>
      <c r="BI56" s="175" t="str">
        <f t="shared" si="127"/>
        <v>N.P.</v>
      </c>
      <c r="BJ56" s="175" t="str">
        <f t="shared" si="128"/>
        <v>N.P.</v>
      </c>
      <c r="BK56" s="20">
        <v>4</v>
      </c>
    </row>
    <row r="57" spans="1:63" ht="12.75">
      <c r="A57" s="46"/>
      <c r="B57" s="46"/>
      <c r="C57" s="699"/>
      <c r="D57" s="378">
        <v>3.9777E-09</v>
      </c>
      <c r="E57" s="138">
        <f>(((3.1415926535*(5/3)^(1/2)*O4*D57*C8)/C5)^2*A21)/(B18+A28)^3</f>
        <v>1146.1835366608445</v>
      </c>
      <c r="F57" s="379">
        <f>(((C5*C8*O4)/(8^(1/2)*3.1415926535*C10^2*C7*O3))^2)*(A21^3/(B18+A28))</f>
        <v>0.31841609238616686</v>
      </c>
      <c r="G57" s="645">
        <f>(2*3.142*$O$4^2*$C$8*$D57*K57)/(3*$C$5*$O$6*(L57+$A$28)^2)</f>
        <v>26.723455222406017</v>
      </c>
      <c r="H57" s="650">
        <f t="shared" si="129"/>
        <v>-68.68005194472805</v>
      </c>
      <c r="I57" s="284">
        <f>-$C$5*$H$6*$C$7^2/A21^2*(1+($B$30^2*$C$7^2/A21^2)*(A21/(B18)-(O4/O6)*(1-(B30^2*C7^2/2*K57^2)*(2*K57^2/L57^2-1)-A48*O4/O3)*A21*A28*G57/((B18+A28)*B18)+2*O4^2/(O3*O6)*A48*B48*(A21*A28*A45*H57/(B18*(B18+A28)^2))-0.75-E57-F57))</f>
        <v>-4.4408055015287546E-13</v>
      </c>
      <c r="J57" s="472">
        <f t="shared" si="43"/>
        <v>107440.33938803244</v>
      </c>
      <c r="K57" s="82">
        <v>7</v>
      </c>
      <c r="L57" s="83">
        <v>3.5</v>
      </c>
      <c r="M57" s="83" t="s">
        <v>13</v>
      </c>
      <c r="N57" s="683" t="str">
        <f t="shared" si="80"/>
        <v>N.P.</v>
      </c>
      <c r="O57" s="144" t="str">
        <f t="shared" si="81"/>
        <v>N.P.</v>
      </c>
      <c r="P57" s="145" t="str">
        <f t="shared" si="82"/>
        <v>N.P.</v>
      </c>
      <c r="Q57" s="146" t="str">
        <f t="shared" si="83"/>
        <v>N.P.</v>
      </c>
      <c r="R57" s="159" t="str">
        <f t="shared" si="84"/>
        <v>N.P.</v>
      </c>
      <c r="S57" s="85" t="str">
        <f t="shared" si="85"/>
        <v>N.P.</v>
      </c>
      <c r="T57" s="85" t="str">
        <f t="shared" si="86"/>
        <v>N.P.</v>
      </c>
      <c r="U57" s="172">
        <f t="shared" si="87"/>
        <v>10049.42845313685</v>
      </c>
      <c r="V57" s="154">
        <f t="shared" si="88"/>
        <v>10049.392377533848</v>
      </c>
      <c r="W57" s="174" t="str">
        <f t="shared" si="89"/>
        <v>N.P.</v>
      </c>
      <c r="X57" s="175" t="str">
        <f t="shared" si="90"/>
        <v>N.P.</v>
      </c>
      <c r="Y57" s="175" t="str">
        <f t="shared" si="91"/>
        <v>N.P.</v>
      </c>
      <c r="Z57" s="184">
        <f t="shared" si="92"/>
        <v>21655.361219261227</v>
      </c>
      <c r="AA57" s="184">
        <f t="shared" si="93"/>
        <v>21655.290628011942</v>
      </c>
      <c r="AB57" s="175" t="str">
        <f t="shared" si="94"/>
        <v>N.P.</v>
      </c>
      <c r="AC57" s="176" t="str">
        <f t="shared" si="95"/>
        <v>N.P.</v>
      </c>
      <c r="AD57" s="174" t="str">
        <f t="shared" si="96"/>
        <v>N.P.</v>
      </c>
      <c r="AE57" s="175" t="str">
        <f t="shared" si="97"/>
        <v>N.P.</v>
      </c>
      <c r="AF57" s="175" t="str">
        <f t="shared" si="98"/>
        <v>N.P.</v>
      </c>
      <c r="AG57" s="184">
        <f t="shared" si="99"/>
        <v>46525.26339303879</v>
      </c>
      <c r="AH57" s="184">
        <f t="shared" si="100"/>
        <v>46525.08752857333</v>
      </c>
      <c r="AI57" s="175" t="str">
        <f t="shared" si="101"/>
        <v>N.P.</v>
      </c>
      <c r="AJ57" s="175" t="str">
        <f t="shared" si="102"/>
        <v>N.P.</v>
      </c>
      <c r="AK57" s="175" t="str">
        <f t="shared" si="103"/>
        <v>N.P.</v>
      </c>
      <c r="AL57" s="185">
        <f t="shared" si="104"/>
        <v>46525.348056172916</v>
      </c>
      <c r="AM57" s="174" t="str">
        <f t="shared" si="105"/>
        <v>N.P.</v>
      </c>
      <c r="AN57" s="175" t="str">
        <f t="shared" si="106"/>
        <v>N.P.</v>
      </c>
      <c r="AO57" s="175" t="str">
        <f t="shared" si="107"/>
        <v>N.P.</v>
      </c>
      <c r="AP57" s="184">
        <f t="shared" si="108"/>
        <v>123686.18495178047</v>
      </c>
      <c r="AQ57" s="184">
        <f t="shared" si="109"/>
        <v>123685.47054292582</v>
      </c>
      <c r="AR57" s="175" t="str">
        <f t="shared" si="110"/>
        <v>N.P.</v>
      </c>
      <c r="AS57" s="175" t="str">
        <f t="shared" si="111"/>
        <v>N.P.</v>
      </c>
      <c r="AT57" s="175" t="str">
        <f t="shared" si="112"/>
        <v>N.P.</v>
      </c>
      <c r="AU57" s="184">
        <f t="shared" si="113"/>
        <v>123686.58590014884</v>
      </c>
      <c r="AV57" s="175" t="str">
        <f t="shared" si="114"/>
        <v>N.P.</v>
      </c>
      <c r="AW57" s="176" t="str">
        <f t="shared" si="115"/>
        <v>N.P.</v>
      </c>
      <c r="AX57" s="192" t="str">
        <f t="shared" si="116"/>
        <v>N.P.</v>
      </c>
      <c r="AY57" s="175" t="str">
        <f t="shared" si="117"/>
        <v>N.P.</v>
      </c>
      <c r="AZ57" s="175" t="str">
        <f t="shared" si="118"/>
        <v>N.P.</v>
      </c>
      <c r="BA57" s="175" t="str">
        <f t="shared" si="119"/>
        <v>N.P.</v>
      </c>
      <c r="BB57" s="175" t="str">
        <f t="shared" si="120"/>
        <v>N.P.</v>
      </c>
      <c r="BC57" s="175" t="str">
        <f t="shared" si="121"/>
        <v>N.P.</v>
      </c>
      <c r="BD57" s="175" t="str">
        <f t="shared" si="122"/>
        <v>N.P.</v>
      </c>
      <c r="BE57" s="175" t="str">
        <f t="shared" si="123"/>
        <v>N.P.</v>
      </c>
      <c r="BF57" s="175" t="str">
        <f t="shared" si="124"/>
        <v>N.P.</v>
      </c>
      <c r="BG57" s="175" t="str">
        <f t="shared" si="125"/>
        <v>N.P.</v>
      </c>
      <c r="BH57" s="175" t="str">
        <f t="shared" si="126"/>
        <v>N.P.</v>
      </c>
      <c r="BI57" s="175" t="str">
        <f t="shared" si="127"/>
        <v>N.P.</v>
      </c>
      <c r="BJ57" s="175" t="str">
        <f t="shared" si="128"/>
        <v>N.P.</v>
      </c>
      <c r="BK57" s="20">
        <v>3</v>
      </c>
    </row>
    <row r="58" spans="1:63" ht="12.75">
      <c r="A58" s="46"/>
      <c r="B58" s="46"/>
      <c r="C58" s="699">
        <f>J58-J59</f>
        <v>0.0007282961450982839</v>
      </c>
      <c r="D58" s="378">
        <v>8.5188E-09</v>
      </c>
      <c r="E58" s="138">
        <f>(((3.1415926535*(5/3)^(1/2)*O4*D58*C8)/C5)^2*A21)/(B19+A27)^3</f>
        <v>1135.5354870315778</v>
      </c>
      <c r="F58" s="379">
        <f>(((C5*C8*O4)/(8^(1/2)*3.1415926535*C10^2*C7*O3))^2)*(A21^3/(B19+A27))</f>
        <v>0.1910496554317001</v>
      </c>
      <c r="G58" s="645">
        <f>(2*3.142*$O$4^2*$C$8*$D58*K58)/(3*$C$5*$O$6*(L58+$A$27)^2)</f>
        <v>20.60352397755177</v>
      </c>
      <c r="H58" s="650">
        <f>(2*3.142*$C$8*$O$4*D58)/(3*$C$5*$A$27)</f>
        <v>147.08792179067038</v>
      </c>
      <c r="I58" s="284">
        <f>-$C$5*$H$6*$C$7^2/A21^2*(1+($B$30^2*$C$7^2/A21^2)*(A21/(B19)-(O4/O6)*(1-(B30^2*C7^2/2*K58^2)*(2*K58^2/L58^2-1)-A48*O4/O3)*A21*A27*G58/((B19+A27)*B19)+2*O4^2/(O3*O6)*A48*B48*(A21*A27*A44*H58/(B19*(B19+A27)^2))-0.75-E58-F58))</f>
        <v>-4.440797720828956E-13</v>
      </c>
      <c r="J58" s="472">
        <f t="shared" si="43"/>
        <v>107440.34330492429</v>
      </c>
      <c r="K58" s="82">
        <v>7</v>
      </c>
      <c r="L58" s="83">
        <v>4.5</v>
      </c>
      <c r="M58" s="83" t="s">
        <v>14</v>
      </c>
      <c r="N58" s="683" t="str">
        <f t="shared" si="80"/>
        <v>N.P.</v>
      </c>
      <c r="O58" s="144" t="str">
        <f t="shared" si="81"/>
        <v>N.P.</v>
      </c>
      <c r="P58" s="145" t="str">
        <f t="shared" si="82"/>
        <v>N.P.</v>
      </c>
      <c r="Q58" s="146" t="str">
        <f t="shared" si="83"/>
        <v>N.P.</v>
      </c>
      <c r="R58" s="159" t="str">
        <f t="shared" si="84"/>
        <v>N.P.</v>
      </c>
      <c r="S58" s="85" t="str">
        <f t="shared" si="85"/>
        <v>N.P.</v>
      </c>
      <c r="T58" s="85" t="str">
        <f t="shared" si="86"/>
        <v>N.P.</v>
      </c>
      <c r="U58" s="85" t="str">
        <f t="shared" si="87"/>
        <v>N.P.</v>
      </c>
      <c r="V58" s="160" t="str">
        <f t="shared" si="88"/>
        <v>N.P.</v>
      </c>
      <c r="W58" s="174" t="str">
        <f t="shared" si="89"/>
        <v>N.P.</v>
      </c>
      <c r="X58" s="175" t="str">
        <f t="shared" si="90"/>
        <v>N.P.</v>
      </c>
      <c r="Y58" s="175" t="str">
        <f t="shared" si="91"/>
        <v>N.P.</v>
      </c>
      <c r="Z58" s="175" t="str">
        <f t="shared" si="92"/>
        <v>N.P.</v>
      </c>
      <c r="AA58" s="175" t="str">
        <f t="shared" si="93"/>
        <v>N.P.</v>
      </c>
      <c r="AB58" s="182">
        <f t="shared" si="94"/>
        <v>21655.38068738259</v>
      </c>
      <c r="AC58" s="176" t="str">
        <f t="shared" si="95"/>
        <v>N.P.</v>
      </c>
      <c r="AD58" s="174" t="str">
        <f t="shared" si="96"/>
        <v>N.P.</v>
      </c>
      <c r="AE58" s="175" t="str">
        <f t="shared" si="97"/>
        <v>N.P.</v>
      </c>
      <c r="AF58" s="175" t="str">
        <f t="shared" si="98"/>
        <v>N.P.</v>
      </c>
      <c r="AG58" s="175" t="str">
        <f t="shared" si="99"/>
        <v>N.P.</v>
      </c>
      <c r="AH58" s="175" t="str">
        <f t="shared" si="100"/>
        <v>N.P.</v>
      </c>
      <c r="AI58" s="184">
        <f t="shared" si="101"/>
        <v>46525.27429147635</v>
      </c>
      <c r="AJ58" s="175" t="str">
        <f t="shared" si="102"/>
        <v>N.P.</v>
      </c>
      <c r="AK58" s="175" t="str">
        <f t="shared" si="103"/>
        <v>N.P.</v>
      </c>
      <c r="AL58" s="176" t="str">
        <f t="shared" si="104"/>
        <v>N.P.</v>
      </c>
      <c r="AM58" s="174" t="str">
        <f t="shared" si="105"/>
        <v>N.P.</v>
      </c>
      <c r="AN58" s="175" t="str">
        <f t="shared" si="106"/>
        <v>N.P.</v>
      </c>
      <c r="AO58" s="175" t="str">
        <f t="shared" si="107"/>
        <v>N.P.</v>
      </c>
      <c r="AP58" s="175" t="str">
        <f t="shared" si="108"/>
        <v>N.P.</v>
      </c>
      <c r="AQ58" s="175" t="str">
        <f t="shared" si="109"/>
        <v>N.P.</v>
      </c>
      <c r="AR58" s="184">
        <f t="shared" si="110"/>
        <v>123685.9472443796</v>
      </c>
      <c r="AS58" s="175" t="str">
        <f t="shared" si="111"/>
        <v>N.P.</v>
      </c>
      <c r="AT58" s="175" t="str">
        <f t="shared" si="112"/>
        <v>N.P.</v>
      </c>
      <c r="AU58" s="175" t="str">
        <f t="shared" si="113"/>
        <v>N.P.</v>
      </c>
      <c r="AV58" s="184">
        <f t="shared" si="114"/>
        <v>123686.32880937358</v>
      </c>
      <c r="AW58" s="185">
        <f t="shared" si="115"/>
        <v>123686.11538759977</v>
      </c>
      <c r="AX58" s="192" t="str">
        <f t="shared" si="116"/>
        <v>N.P.</v>
      </c>
      <c r="AY58" s="175" t="str">
        <f t="shared" si="117"/>
        <v>N.P.</v>
      </c>
      <c r="AZ58" s="175" t="str">
        <f t="shared" si="118"/>
        <v>N.P.</v>
      </c>
      <c r="BA58" s="175" t="str">
        <f t="shared" si="119"/>
        <v>N.P.</v>
      </c>
      <c r="BB58" s="175" t="str">
        <f t="shared" si="120"/>
        <v>N.P.</v>
      </c>
      <c r="BC58" s="175" t="str">
        <f t="shared" si="121"/>
        <v>N.P.</v>
      </c>
      <c r="BD58" s="175" t="str">
        <f t="shared" si="122"/>
        <v>N.P.</v>
      </c>
      <c r="BE58" s="175" t="str">
        <f t="shared" si="123"/>
        <v>N.P.</v>
      </c>
      <c r="BF58" s="175" t="str">
        <f t="shared" si="124"/>
        <v>N.P.</v>
      </c>
      <c r="BG58" s="175" t="str">
        <f t="shared" si="125"/>
        <v>N.P.</v>
      </c>
      <c r="BH58" s="175" t="str">
        <f t="shared" si="126"/>
        <v>N.P.</v>
      </c>
      <c r="BI58" s="175" t="str">
        <f t="shared" si="127"/>
        <v>N.P.</v>
      </c>
      <c r="BJ58" s="175" t="str">
        <f t="shared" si="128"/>
        <v>N.P.</v>
      </c>
      <c r="BK58" s="20">
        <v>5</v>
      </c>
    </row>
    <row r="59" spans="1:63" ht="12.75">
      <c r="A59" s="46"/>
      <c r="B59" s="46"/>
      <c r="C59" s="699"/>
      <c r="D59" s="378">
        <v>6.115E-09</v>
      </c>
      <c r="E59" s="138">
        <f>(((3.1415926535*(5/3)^(1/2)*O4*D59*C8)/C5)^2*A21)/(B19+A28)^3</f>
        <v>1142.791044549985</v>
      </c>
      <c r="F59" s="379">
        <f>(((C5*C8*O4)/(8^(1/2)*3.1415926535*C10^2*C7*O3))^2)*(A21^3/(B19+A28))</f>
        <v>0.23881206928962515</v>
      </c>
      <c r="G59" s="645">
        <f>(2*3.142*$O$4^2*$C$8*$D59*K59)/(3*$C$5*$O$6*(L59+$A$28)^2)</f>
        <v>23.108915927626445</v>
      </c>
      <c r="H59" s="650">
        <f t="shared" si="129"/>
        <v>-105.58325606305455</v>
      </c>
      <c r="I59" s="284">
        <f>-$C$5*$H$6*$C$7^2/A21^2*(1+($B$30^2*$C$7^2/A21^2)*(A21/(B19)-(O4/O6)*(1-(B30^2*C7^2/2*K59^2)*(2*K59^2/L59^2-1)-A48*O4/O3)*A21*A28*G59/((B19+A28)*B19)+2*O4^2/(O3*O6)*A48*B48*(A21*A28*A45*H59/(B19*(B19+A28)^2))-0.75-E59-F59))</f>
        <v>-4.4407991675509827E-13</v>
      </c>
      <c r="J59" s="472">
        <f t="shared" si="43"/>
        <v>107440.34257662814</v>
      </c>
      <c r="K59" s="82">
        <v>7</v>
      </c>
      <c r="L59" s="83">
        <v>4.5</v>
      </c>
      <c r="M59" s="83" t="s">
        <v>15</v>
      </c>
      <c r="N59" s="683" t="str">
        <f t="shared" si="80"/>
        <v>N.P.</v>
      </c>
      <c r="O59" s="144" t="str">
        <f t="shared" si="81"/>
        <v>N.P.</v>
      </c>
      <c r="P59" s="145" t="str">
        <f t="shared" si="82"/>
        <v>N.P.</v>
      </c>
      <c r="Q59" s="146" t="str">
        <f t="shared" si="83"/>
        <v>N.P.</v>
      </c>
      <c r="R59" s="159" t="str">
        <f t="shared" si="84"/>
        <v>N.P.</v>
      </c>
      <c r="S59" s="85" t="str">
        <f t="shared" si="85"/>
        <v>N.P.</v>
      </c>
      <c r="T59" s="85" t="str">
        <f t="shared" si="86"/>
        <v>N.P.</v>
      </c>
      <c r="U59" s="85" t="str">
        <f t="shared" si="87"/>
        <v>N.P.</v>
      </c>
      <c r="V59" s="160" t="str">
        <f t="shared" si="88"/>
        <v>N.P.</v>
      </c>
      <c r="W59" s="174" t="str">
        <f t="shared" si="89"/>
        <v>N.P.</v>
      </c>
      <c r="X59" s="175" t="str">
        <f t="shared" si="90"/>
        <v>N.P.</v>
      </c>
      <c r="Y59" s="175" t="str">
        <f t="shared" si="91"/>
        <v>N.P.</v>
      </c>
      <c r="Z59" s="175" t="str">
        <f t="shared" si="92"/>
        <v>N.P.</v>
      </c>
      <c r="AA59" s="175" t="str">
        <f t="shared" si="93"/>
        <v>N.P.</v>
      </c>
      <c r="AB59" s="184">
        <f t="shared" si="94"/>
        <v>21655.38410370339</v>
      </c>
      <c r="AC59" s="189">
        <f t="shared" si="95"/>
        <v>21655.34559277248</v>
      </c>
      <c r="AD59" s="174" t="str">
        <f t="shared" si="96"/>
        <v>N.P.</v>
      </c>
      <c r="AE59" s="175" t="str">
        <f t="shared" si="97"/>
        <v>N.P.</v>
      </c>
      <c r="AF59" s="175" t="str">
        <f t="shared" si="98"/>
        <v>N.P.</v>
      </c>
      <c r="AG59" s="175" t="str">
        <f t="shared" si="99"/>
        <v>N.P.</v>
      </c>
      <c r="AH59" s="175" t="str">
        <f t="shared" si="100"/>
        <v>N.P.</v>
      </c>
      <c r="AI59" s="184">
        <f t="shared" si="101"/>
        <v>46525.290060501706</v>
      </c>
      <c r="AJ59" s="184">
        <f t="shared" si="102"/>
        <v>46525.20009983378</v>
      </c>
      <c r="AK59" s="175" t="str">
        <f t="shared" si="103"/>
        <v>N.P.</v>
      </c>
      <c r="AL59" s="176" t="str">
        <f t="shared" si="104"/>
        <v>N.P.</v>
      </c>
      <c r="AM59" s="174" t="str">
        <f t="shared" si="105"/>
        <v>N.P.</v>
      </c>
      <c r="AN59" s="175" t="str">
        <f t="shared" si="106"/>
        <v>N.P.</v>
      </c>
      <c r="AO59" s="175" t="str">
        <f t="shared" si="107"/>
        <v>N.P.</v>
      </c>
      <c r="AP59" s="175" t="str">
        <f t="shared" si="108"/>
        <v>N.P.</v>
      </c>
      <c r="AQ59" s="175" t="str">
        <f t="shared" si="109"/>
        <v>N.P.</v>
      </c>
      <c r="AR59" s="184">
        <f t="shared" si="110"/>
        <v>123686.05869125639</v>
      </c>
      <c r="AS59" s="184">
        <f t="shared" si="111"/>
        <v>123685.67681424791</v>
      </c>
      <c r="AT59" s="175" t="str">
        <f t="shared" si="112"/>
        <v>N.P.</v>
      </c>
      <c r="AU59" s="175" t="str">
        <f t="shared" si="113"/>
        <v>N.P.</v>
      </c>
      <c r="AV59" s="175" t="str">
        <f t="shared" si="114"/>
        <v>N.P.</v>
      </c>
      <c r="AW59" s="185">
        <f t="shared" si="115"/>
        <v>123686.2268347796</v>
      </c>
      <c r="AX59" s="192" t="str">
        <f t="shared" si="116"/>
        <v>N.P.</v>
      </c>
      <c r="AY59" s="175" t="str">
        <f t="shared" si="117"/>
        <v>N.P.</v>
      </c>
      <c r="AZ59" s="175" t="str">
        <f t="shared" si="118"/>
        <v>N.P.</v>
      </c>
      <c r="BA59" s="175" t="str">
        <f t="shared" si="119"/>
        <v>N.P.</v>
      </c>
      <c r="BB59" s="175" t="str">
        <f t="shared" si="120"/>
        <v>N.P.</v>
      </c>
      <c r="BC59" s="175" t="str">
        <f t="shared" si="121"/>
        <v>N.P.</v>
      </c>
      <c r="BD59" s="175" t="str">
        <f t="shared" si="122"/>
        <v>N.P.</v>
      </c>
      <c r="BE59" s="175" t="str">
        <f t="shared" si="123"/>
        <v>N.P.</v>
      </c>
      <c r="BF59" s="175" t="str">
        <f t="shared" si="124"/>
        <v>N.P.</v>
      </c>
      <c r="BG59" s="175" t="str">
        <f t="shared" si="125"/>
        <v>N.P.</v>
      </c>
      <c r="BH59" s="175" t="str">
        <f t="shared" si="126"/>
        <v>N.P.</v>
      </c>
      <c r="BI59" s="175" t="str">
        <f t="shared" si="127"/>
        <v>N.P.</v>
      </c>
      <c r="BJ59" s="175" t="str">
        <f t="shared" si="128"/>
        <v>N.P.</v>
      </c>
      <c r="BK59" s="20">
        <v>4</v>
      </c>
    </row>
    <row r="60" spans="1:63" ht="12.75">
      <c r="A60" s="46"/>
      <c r="B60" s="46"/>
      <c r="C60" s="699">
        <f>J60-J61</f>
        <v>8.647528011351824E-05</v>
      </c>
      <c r="D60" s="378">
        <v>1.121E-08</v>
      </c>
      <c r="E60" s="138">
        <f>(((3.1415926535*(5/3)^(1/2)*O4*D60*C8)/C5)^2*A21)/(B20+A27)^3</f>
        <v>1137.9190123260048</v>
      </c>
      <c r="F60" s="379">
        <f>(((C5*C8*O4)/(8^(1/2)*3.1415926535*C10^2*C7*O3))^2)*(A21^3/(B20+A27))</f>
        <v>0.15920804619308343</v>
      </c>
      <c r="G60" s="645">
        <f>(2*3.142*$O$4^2*$C$8*$D60*K60)/(3*$C$5*$O$6*(L60+$A$27)^2)</f>
        <v>18.828087402466974</v>
      </c>
      <c r="H60" s="650">
        <f>(2*3.142*$C$8*$O$4*D60)/(3*$C$5*$A$27)</f>
        <v>193.55491422188743</v>
      </c>
      <c r="I60" s="284">
        <f>-$C$5*$H$6*$C$7^2/A21^2*(1+($B$30^2*$C$7^2/A21^2)*(A21/(B20)-(O4/O6)*(1-(B30^2*C7^2/2*K60^2)*(2*K60^2/L60^2-1)-A48*O4/O3)*A21*A27*G60/((B20+A27)*B20)+2*O4^2/(O3*O6)*A48*B48*(A21*A27*A44*H60/(B20*(B20+A27)^2))-0.75-E60-F60))</f>
        <v>-4.4407907445873397E-13</v>
      </c>
      <c r="J60" s="472">
        <f t="shared" si="43"/>
        <v>107440.34681684284</v>
      </c>
      <c r="K60" s="82">
        <v>7</v>
      </c>
      <c r="L60" s="83">
        <v>5.5</v>
      </c>
      <c r="M60" s="83" t="s">
        <v>16</v>
      </c>
      <c r="N60" s="683" t="str">
        <f t="shared" si="80"/>
        <v>N.P.</v>
      </c>
      <c r="O60" s="144" t="str">
        <f t="shared" si="81"/>
        <v>N.P.</v>
      </c>
      <c r="P60" s="145" t="str">
        <f t="shared" si="82"/>
        <v>N.P.</v>
      </c>
      <c r="Q60" s="146" t="str">
        <f t="shared" si="83"/>
        <v>N.P.</v>
      </c>
      <c r="R60" s="159" t="str">
        <f t="shared" si="84"/>
        <v>N.P.</v>
      </c>
      <c r="S60" s="85" t="str">
        <f t="shared" si="85"/>
        <v>N.P.</v>
      </c>
      <c r="T60" s="85" t="str">
        <f t="shared" si="86"/>
        <v>N.P.</v>
      </c>
      <c r="U60" s="85" t="str">
        <f t="shared" si="87"/>
        <v>N.P.</v>
      </c>
      <c r="V60" s="160" t="str">
        <f t="shared" si="88"/>
        <v>N.P.</v>
      </c>
      <c r="W60" s="174" t="str">
        <f t="shared" si="89"/>
        <v>N.P.</v>
      </c>
      <c r="X60" s="175" t="str">
        <f t="shared" si="90"/>
        <v>N.P.</v>
      </c>
      <c r="Y60" s="175" t="str">
        <f t="shared" si="91"/>
        <v>N.P.</v>
      </c>
      <c r="Z60" s="175" t="str">
        <f t="shared" si="92"/>
        <v>N.P.</v>
      </c>
      <c r="AA60" s="175" t="str">
        <f t="shared" si="93"/>
        <v>N.P.</v>
      </c>
      <c r="AB60" s="175" t="str">
        <f t="shared" si="94"/>
        <v>N.P.</v>
      </c>
      <c r="AC60" s="176" t="str">
        <f t="shared" si="95"/>
        <v>N.P.</v>
      </c>
      <c r="AD60" s="174" t="str">
        <f t="shared" si="96"/>
        <v>N.P.</v>
      </c>
      <c r="AE60" s="175" t="str">
        <f t="shared" si="97"/>
        <v>N.P.</v>
      </c>
      <c r="AF60" s="175" t="str">
        <f t="shared" si="98"/>
        <v>N.P.</v>
      </c>
      <c r="AG60" s="175" t="str">
        <f t="shared" si="99"/>
        <v>N.P.</v>
      </c>
      <c r="AH60" s="175" t="str">
        <f t="shared" si="100"/>
        <v>N.P.</v>
      </c>
      <c r="AI60" s="175" t="str">
        <f t="shared" si="101"/>
        <v>N.P.</v>
      </c>
      <c r="AJ60" s="175" t="str">
        <f t="shared" si="102"/>
        <v>N.P.</v>
      </c>
      <c r="AK60" s="182">
        <f t="shared" si="103"/>
        <v>46525.240772813646</v>
      </c>
      <c r="AL60" s="176" t="str">
        <f t="shared" si="104"/>
        <v>N.P.</v>
      </c>
      <c r="AM60" s="174" t="str">
        <f t="shared" si="105"/>
        <v>N.P.</v>
      </c>
      <c r="AN60" s="175" t="str">
        <f t="shared" si="106"/>
        <v>N.P.</v>
      </c>
      <c r="AO60" s="175" t="str">
        <f t="shared" si="107"/>
        <v>N.P.</v>
      </c>
      <c r="AP60" s="175" t="str">
        <f t="shared" si="108"/>
        <v>N.P.</v>
      </c>
      <c r="AQ60" s="175" t="str">
        <f t="shared" si="109"/>
        <v>N.P.</v>
      </c>
      <c r="AR60" s="175" t="str">
        <f t="shared" si="110"/>
        <v>N.P.</v>
      </c>
      <c r="AS60" s="175" t="str">
        <f t="shared" si="111"/>
        <v>N.P.</v>
      </c>
      <c r="AT60" s="184">
        <f t="shared" si="112"/>
        <v>123685.61367334201</v>
      </c>
      <c r="AU60" s="175" t="str">
        <f t="shared" si="113"/>
        <v>N.P.</v>
      </c>
      <c r="AV60" s="175" t="str">
        <f t="shared" si="114"/>
        <v>N.P.</v>
      </c>
      <c r="AW60" s="176" t="str">
        <f t="shared" si="115"/>
        <v>N.P.</v>
      </c>
      <c r="AX60" s="192" t="str">
        <f t="shared" si="116"/>
        <v>N.P.</v>
      </c>
      <c r="AY60" s="175" t="str">
        <f t="shared" si="117"/>
        <v>N.P.</v>
      </c>
      <c r="AZ60" s="175" t="str">
        <f t="shared" si="118"/>
        <v>N.P.</v>
      </c>
      <c r="BA60" s="175" t="str">
        <f t="shared" si="119"/>
        <v>N.P.</v>
      </c>
      <c r="BB60" s="175" t="str">
        <f t="shared" si="120"/>
        <v>N.P.</v>
      </c>
      <c r="BC60" s="175" t="str">
        <f t="shared" si="121"/>
        <v>N.P.</v>
      </c>
      <c r="BD60" s="175" t="str">
        <f t="shared" si="122"/>
        <v>N.P.</v>
      </c>
      <c r="BE60" s="175" t="str">
        <f t="shared" si="123"/>
        <v>N.P.</v>
      </c>
      <c r="BF60" s="175" t="str">
        <f t="shared" si="124"/>
        <v>N.P.</v>
      </c>
      <c r="BG60" s="175" t="str">
        <f t="shared" si="125"/>
        <v>N.P.</v>
      </c>
      <c r="BH60" s="175" t="str">
        <f t="shared" si="126"/>
        <v>N.P.</v>
      </c>
      <c r="BI60" s="175" t="str">
        <f t="shared" si="127"/>
        <v>N.P.</v>
      </c>
      <c r="BJ60" s="175" t="str">
        <f t="shared" si="128"/>
        <v>N.P.</v>
      </c>
      <c r="BK60" s="20">
        <v>6</v>
      </c>
    </row>
    <row r="61" spans="1:63" ht="12.75">
      <c r="A61" s="46"/>
      <c r="B61" s="46"/>
      <c r="C61" s="699"/>
      <c r="D61" s="378">
        <v>8.5446E-09</v>
      </c>
      <c r="E61" s="138">
        <f>(((3.1415926535*(5/3)^(1/2)*O4*D61*C8)/C5)^2*A21)/(B20+A28)^3</f>
        <v>1142.4240581139914</v>
      </c>
      <c r="F61" s="379">
        <f>(((C5*C8*O4)/(8^(1/2)*3.1415926535*C10^2*C7*O3))^2)*(A21^3/(B20+A28))</f>
        <v>0.1910496554317001</v>
      </c>
      <c r="G61" s="645">
        <f>(2*3.142*$O$4^2*$C$8*$D61*K61)/(3*$C$5*$O$6*(L61+$A$28)^2)</f>
        <v>20.66592371913754</v>
      </c>
      <c r="H61" s="650">
        <f t="shared" si="129"/>
        <v>-147.5333916200124</v>
      </c>
      <c r="I61" s="284">
        <f>-$C$5*$H$6*$C$7^2/A21^2*(1+($B$30^2*$C$7^2/A21^2)*(A21/(B20)-(O4/O6)*(1-(B30^2*C7^2/2*K61^2)*(2*K61^2/L61^2-1)-A48*O4/O3)*A21*A28*G61/((B20+A28)*B20)+2*O4^2/(O3*O6)*A48*B48*(A21*A28*A45*H61/(B20*(B20+A28)^2))-0.75-E61-F61))</f>
        <v>-4.44079091636592E-13</v>
      </c>
      <c r="J61" s="472">
        <f t="shared" si="43"/>
        <v>107440.34673036756</v>
      </c>
      <c r="K61" s="82">
        <v>7</v>
      </c>
      <c r="L61" s="83">
        <v>5.5</v>
      </c>
      <c r="M61" s="83" t="s">
        <v>17</v>
      </c>
      <c r="N61" s="683" t="str">
        <f t="shared" si="80"/>
        <v>N.P.</v>
      </c>
      <c r="O61" s="144" t="str">
        <f t="shared" si="81"/>
        <v>N.P.</v>
      </c>
      <c r="P61" s="145" t="str">
        <f t="shared" si="82"/>
        <v>N.P.</v>
      </c>
      <c r="Q61" s="146" t="str">
        <f t="shared" si="83"/>
        <v>N.P.</v>
      </c>
      <c r="R61" s="159" t="str">
        <f t="shared" si="84"/>
        <v>N.P.</v>
      </c>
      <c r="S61" s="85" t="str">
        <f t="shared" si="85"/>
        <v>N.P.</v>
      </c>
      <c r="T61" s="85" t="str">
        <f t="shared" si="86"/>
        <v>N.P.</v>
      </c>
      <c r="U61" s="85" t="str">
        <f t="shared" si="87"/>
        <v>N.P.</v>
      </c>
      <c r="V61" s="160" t="str">
        <f t="shared" si="88"/>
        <v>N.P.</v>
      </c>
      <c r="W61" s="174" t="str">
        <f t="shared" si="89"/>
        <v>N.P.</v>
      </c>
      <c r="X61" s="175" t="str">
        <f t="shared" si="90"/>
        <v>N.P.</v>
      </c>
      <c r="Y61" s="175" t="str">
        <f t="shared" si="91"/>
        <v>N.P.</v>
      </c>
      <c r="Z61" s="175" t="str">
        <f t="shared" si="92"/>
        <v>N.P.</v>
      </c>
      <c r="AA61" s="175" t="str">
        <f t="shared" si="93"/>
        <v>N.P.</v>
      </c>
      <c r="AB61" s="175" t="str">
        <f t="shared" si="94"/>
        <v>N.P.</v>
      </c>
      <c r="AC61" s="176" t="str">
        <f t="shared" si="95"/>
        <v>N.P.</v>
      </c>
      <c r="AD61" s="174" t="str">
        <f t="shared" si="96"/>
        <v>N.P.</v>
      </c>
      <c r="AE61" s="175" t="str">
        <f t="shared" si="97"/>
        <v>N.P.</v>
      </c>
      <c r="AF61" s="175" t="str">
        <f t="shared" si="98"/>
        <v>N.P.</v>
      </c>
      <c r="AG61" s="175" t="str">
        <f t="shared" si="99"/>
        <v>N.P.</v>
      </c>
      <c r="AH61" s="175" t="str">
        <f t="shared" si="100"/>
        <v>N.P.</v>
      </c>
      <c r="AI61" s="175" t="str">
        <f t="shared" si="101"/>
        <v>N.P.</v>
      </c>
      <c r="AJ61" s="175" t="str">
        <f t="shared" si="102"/>
        <v>N.P.</v>
      </c>
      <c r="AK61" s="184">
        <f t="shared" si="103"/>
        <v>46525.242645167855</v>
      </c>
      <c r="AL61" s="189">
        <f t="shared" si="104"/>
        <v>46525.18908045836</v>
      </c>
      <c r="AM61" s="174" t="str">
        <f t="shared" si="105"/>
        <v>N.P.</v>
      </c>
      <c r="AN61" s="175" t="str">
        <f t="shared" si="106"/>
        <v>N.P.</v>
      </c>
      <c r="AO61" s="175" t="str">
        <f t="shared" si="107"/>
        <v>N.P.</v>
      </c>
      <c r="AP61" s="175" t="str">
        <f t="shared" si="108"/>
        <v>N.P.</v>
      </c>
      <c r="AQ61" s="175" t="str">
        <f t="shared" si="109"/>
        <v>N.P.</v>
      </c>
      <c r="AR61" s="175" t="str">
        <f t="shared" si="110"/>
        <v>N.P.</v>
      </c>
      <c r="AS61" s="175" t="str">
        <f t="shared" si="111"/>
        <v>N.P.</v>
      </c>
      <c r="AT61" s="184">
        <f t="shared" si="112"/>
        <v>123685.62690606223</v>
      </c>
      <c r="AU61" s="184">
        <f t="shared" si="113"/>
        <v>123685.46234540103</v>
      </c>
      <c r="AV61" s="175" t="str">
        <f t="shared" si="114"/>
        <v>N.P.</v>
      </c>
      <c r="AW61" s="176" t="str">
        <f t="shared" si="115"/>
        <v>N.P.</v>
      </c>
      <c r="AX61" s="192" t="str">
        <f t="shared" si="116"/>
        <v>N.P.</v>
      </c>
      <c r="AY61" s="175" t="str">
        <f t="shared" si="117"/>
        <v>N.P.</v>
      </c>
      <c r="AZ61" s="175" t="str">
        <f t="shared" si="118"/>
        <v>N.P.</v>
      </c>
      <c r="BA61" s="175" t="str">
        <f t="shared" si="119"/>
        <v>N.P.</v>
      </c>
      <c r="BB61" s="175" t="str">
        <f t="shared" si="120"/>
        <v>N.P.</v>
      </c>
      <c r="BC61" s="175" t="str">
        <f t="shared" si="121"/>
        <v>N.P.</v>
      </c>
      <c r="BD61" s="175" t="str">
        <f t="shared" si="122"/>
        <v>N.P.</v>
      </c>
      <c r="BE61" s="175" t="str">
        <f t="shared" si="123"/>
        <v>N.P.</v>
      </c>
      <c r="BF61" s="175" t="str">
        <f t="shared" si="124"/>
        <v>N.P.</v>
      </c>
      <c r="BG61" s="175" t="str">
        <f t="shared" si="125"/>
        <v>N.P.</v>
      </c>
      <c r="BH61" s="175" t="str">
        <f t="shared" si="126"/>
        <v>N.P.</v>
      </c>
      <c r="BI61" s="175" t="str">
        <f t="shared" si="127"/>
        <v>N.P.</v>
      </c>
      <c r="BJ61" s="175" t="str">
        <f t="shared" si="128"/>
        <v>N.P.</v>
      </c>
      <c r="BK61" s="20">
        <v>5</v>
      </c>
    </row>
    <row r="62" spans="1:63" ht="12.75">
      <c r="A62" s="46"/>
      <c r="B62" s="46"/>
      <c r="C62" s="699">
        <f>J62-J63</f>
        <v>0.0011874401534441859</v>
      </c>
      <c r="D62" s="378">
        <v>1.4136E-08</v>
      </c>
      <c r="E62" s="138">
        <f>(((3.1415926535*(5/3)^(1/2)*O4*D62*C8)/C5)^2*A21)/(B21+A27)^3</f>
        <v>1139.4960723551985</v>
      </c>
      <c r="F62" s="379">
        <f>(((C5*C8*O4)/(8^(1/2)*3.1415926535*C10^2*C7*O3))^2)*(A21^3/(B21+A27))</f>
        <v>0.1364640395940715</v>
      </c>
      <c r="G62" s="645">
        <f>(2*3.142*$O$4^2*$C$8*$D62*K62)/(3*$C$5*$O$6*(L62+$A$27)^2)</f>
        <v>17.443496817283826</v>
      </c>
      <c r="H62" s="650">
        <f>(2*3.142*$C$8*$O$4*D62)/(3*$C$5*$A$27)</f>
        <v>244.0760274255665</v>
      </c>
      <c r="I62" s="284">
        <f>-$C$5*$H$6*$C$7^2/A21^2*(1+($B$30^2*$C$7^2/A21^2)*(A21/(B21)-(O4/O6)*(1-(B30^2*C7^2/2*K62^2)*(2*K62^2/L62^2-1)-A48*O4/O3)*A21*A27*G62/((B21+A27)*B21)+2*O4^2/(O3*O6)*A48*B48*(A21*A27*A44*H62/(B21*(B21+A27)^2))-0.75-E62-F62))</f>
        <v>-4.4407854150545134E-13</v>
      </c>
      <c r="J62" s="472">
        <f t="shared" si="43"/>
        <v>107440.34949978963</v>
      </c>
      <c r="K62" s="82">
        <v>7</v>
      </c>
      <c r="L62" s="83">
        <v>6.5</v>
      </c>
      <c r="M62" s="83" t="s">
        <v>18</v>
      </c>
      <c r="N62" s="683" t="str">
        <f t="shared" si="80"/>
        <v>N.P.</v>
      </c>
      <c r="O62" s="144" t="str">
        <f t="shared" si="81"/>
        <v>N.P.</v>
      </c>
      <c r="P62" s="145" t="str">
        <f t="shared" si="82"/>
        <v>N.P.</v>
      </c>
      <c r="Q62" s="146" t="str">
        <f t="shared" si="83"/>
        <v>N.P.</v>
      </c>
      <c r="R62" s="159" t="str">
        <f t="shared" si="84"/>
        <v>N.P.</v>
      </c>
      <c r="S62" s="85" t="str">
        <f t="shared" si="85"/>
        <v>N.P.</v>
      </c>
      <c r="T62" s="85" t="str">
        <f t="shared" si="86"/>
        <v>N.P.</v>
      </c>
      <c r="U62" s="85" t="str">
        <f t="shared" si="87"/>
        <v>N.P.</v>
      </c>
      <c r="V62" s="160" t="str">
        <f t="shared" si="88"/>
        <v>N.P.</v>
      </c>
      <c r="W62" s="174" t="str">
        <f t="shared" si="89"/>
        <v>N.P.</v>
      </c>
      <c r="X62" s="175" t="str">
        <f t="shared" si="90"/>
        <v>N.P.</v>
      </c>
      <c r="Y62" s="175" t="str">
        <f t="shared" si="91"/>
        <v>N.P.</v>
      </c>
      <c r="Z62" s="175" t="str">
        <f t="shared" si="92"/>
        <v>N.P.</v>
      </c>
      <c r="AA62" s="175" t="str">
        <f t="shared" si="93"/>
        <v>N.P.</v>
      </c>
      <c r="AB62" s="175" t="str">
        <f t="shared" si="94"/>
        <v>N.P.</v>
      </c>
      <c r="AC62" s="176" t="str">
        <f t="shared" si="95"/>
        <v>N.P.</v>
      </c>
      <c r="AD62" s="174" t="str">
        <f t="shared" si="96"/>
        <v>N.P.</v>
      </c>
      <c r="AE62" s="175" t="str">
        <f t="shared" si="97"/>
        <v>N.P.</v>
      </c>
      <c r="AF62" s="175" t="str">
        <f t="shared" si="98"/>
        <v>N.P.</v>
      </c>
      <c r="AG62" s="175" t="str">
        <f t="shared" si="99"/>
        <v>N.P.</v>
      </c>
      <c r="AH62" s="175" t="str">
        <f t="shared" si="100"/>
        <v>N.P.</v>
      </c>
      <c r="AI62" s="175" t="str">
        <f t="shared" si="101"/>
        <v>N.P.</v>
      </c>
      <c r="AJ62" s="175" t="str">
        <f t="shared" si="102"/>
        <v>N.P.</v>
      </c>
      <c r="AK62" s="175" t="str">
        <f t="shared" si="103"/>
        <v>N.P.</v>
      </c>
      <c r="AL62" s="176" t="str">
        <f t="shared" si="104"/>
        <v>N.P.</v>
      </c>
      <c r="AM62" s="174" t="str">
        <f t="shared" si="105"/>
        <v>N.P.</v>
      </c>
      <c r="AN62" s="175" t="str">
        <f t="shared" si="106"/>
        <v>N.P.</v>
      </c>
      <c r="AO62" s="175" t="str">
        <f t="shared" si="107"/>
        <v>N.P.</v>
      </c>
      <c r="AP62" s="175" t="str">
        <f t="shared" si="108"/>
        <v>N.P.</v>
      </c>
      <c r="AQ62" s="175" t="str">
        <f t="shared" si="109"/>
        <v>N.P.</v>
      </c>
      <c r="AR62" s="175" t="str">
        <f t="shared" si="110"/>
        <v>N.P.</v>
      </c>
      <c r="AS62" s="175" t="str">
        <f t="shared" si="111"/>
        <v>N.P.</v>
      </c>
      <c r="AT62" s="175" t="str">
        <f t="shared" si="112"/>
        <v>N.P.</v>
      </c>
      <c r="AU62" s="175" t="str">
        <f t="shared" si="113"/>
        <v>N.P.</v>
      </c>
      <c r="AV62" s="182">
        <f t="shared" si="114"/>
        <v>123685.38084783155</v>
      </c>
      <c r="AW62" s="176" t="str">
        <f t="shared" si="115"/>
        <v>N.P.</v>
      </c>
      <c r="AX62" s="192" t="str">
        <f t="shared" si="116"/>
        <v>N.P.</v>
      </c>
      <c r="AY62" s="175" t="str">
        <f t="shared" si="117"/>
        <v>N.P.</v>
      </c>
      <c r="AZ62" s="175" t="str">
        <f t="shared" si="118"/>
        <v>N.P.</v>
      </c>
      <c r="BA62" s="175" t="str">
        <f t="shared" si="119"/>
        <v>N.P.</v>
      </c>
      <c r="BB62" s="175" t="str">
        <f t="shared" si="120"/>
        <v>N.P.</v>
      </c>
      <c r="BC62" s="175" t="str">
        <f t="shared" si="121"/>
        <v>N.P.</v>
      </c>
      <c r="BD62" s="175" t="str">
        <f t="shared" si="122"/>
        <v>N.P.</v>
      </c>
      <c r="BE62" s="175" t="str">
        <f t="shared" si="123"/>
        <v>N.P.</v>
      </c>
      <c r="BF62" s="175" t="str">
        <f t="shared" si="124"/>
        <v>N.P.</v>
      </c>
      <c r="BG62" s="175" t="str">
        <f t="shared" si="125"/>
        <v>N.P.</v>
      </c>
      <c r="BH62" s="175" t="str">
        <f t="shared" si="126"/>
        <v>N.P.</v>
      </c>
      <c r="BI62" s="175" t="str">
        <f t="shared" si="127"/>
        <v>N.P.</v>
      </c>
      <c r="BJ62" s="175" t="str">
        <f t="shared" si="128"/>
        <v>N.P.</v>
      </c>
      <c r="BK62" s="20">
        <v>7</v>
      </c>
    </row>
    <row r="63" spans="1:63" ht="12.75">
      <c r="A63" s="46"/>
      <c r="B63" s="46"/>
      <c r="C63" s="700"/>
      <c r="D63" s="380">
        <v>1.123E-08</v>
      </c>
      <c r="E63" s="147">
        <f>(((3.1415926535*(5/3)^(1/2)*O4*D63*C8)/C5)^2*A21)/(B21+A28)^3</f>
        <v>1141.9830055645818</v>
      </c>
      <c r="F63" s="381">
        <f>(((C5*C8*O4)/(8^(1/2)*3.1415926535*C10^2*C7*O3))^2)*(A21^3/(B21+A28))</f>
        <v>0.15920804619308343</v>
      </c>
      <c r="G63" s="646">
        <f>(2*3.142*$O$4^2*$C$8*$D63*K63)/(3*$C$5*$O$6*(L63+$A$28)^2)</f>
        <v>18.861678994621244</v>
      </c>
      <c r="H63" s="651">
        <f t="shared" si="129"/>
        <v>-193.9002396709898</v>
      </c>
      <c r="I63" s="285">
        <f>-$C$5*$H$6*$C$7^2/A21^2*(1+($B$30^2*$C$7^2/A21^2)*(A21/(B21)-(O4/O6)*(1-(B30^2*C7^2/2*K63^2)*(2*K63^2/L63^2-1)-A48*O4/O3)*A21*A28*G63/((B21+A28)*B21)+2*O4^2/(O3*O6)*A48*B48*(A21*A28*A45*H63/(B21*(B21+A28)^2))-0.75-E63-F63))</f>
        <v>-4.4407877738419904E-13</v>
      </c>
      <c r="J63" s="481">
        <f t="shared" si="43"/>
        <v>107440.34831234948</v>
      </c>
      <c r="K63" s="86">
        <v>7</v>
      </c>
      <c r="L63" s="87">
        <v>6.5</v>
      </c>
      <c r="M63" s="87" t="s">
        <v>19</v>
      </c>
      <c r="N63" s="686" t="str">
        <f t="shared" si="80"/>
        <v>N.P.</v>
      </c>
      <c r="O63" s="148" t="str">
        <f t="shared" si="81"/>
        <v>N.P.</v>
      </c>
      <c r="P63" s="149" t="str">
        <f t="shared" si="82"/>
        <v>N.P.</v>
      </c>
      <c r="Q63" s="150" t="str">
        <f t="shared" si="83"/>
        <v>N.P.</v>
      </c>
      <c r="R63" s="165" t="str">
        <f t="shared" si="84"/>
        <v>N.P.</v>
      </c>
      <c r="S63" s="89" t="str">
        <f t="shared" si="85"/>
        <v>N.P.</v>
      </c>
      <c r="T63" s="89" t="str">
        <f t="shared" si="86"/>
        <v>N.P.</v>
      </c>
      <c r="U63" s="89" t="str">
        <f t="shared" si="87"/>
        <v>N.P.</v>
      </c>
      <c r="V63" s="166" t="str">
        <f t="shared" si="88"/>
        <v>N.P.</v>
      </c>
      <c r="W63" s="178" t="str">
        <f t="shared" si="89"/>
        <v>N.P.</v>
      </c>
      <c r="X63" s="179" t="str">
        <f t="shared" si="90"/>
        <v>N.P.</v>
      </c>
      <c r="Y63" s="179" t="str">
        <f t="shared" si="91"/>
        <v>N.P.</v>
      </c>
      <c r="Z63" s="179" t="str">
        <f t="shared" si="92"/>
        <v>N.P.</v>
      </c>
      <c r="AA63" s="179" t="str">
        <f t="shared" si="93"/>
        <v>N.P.</v>
      </c>
      <c r="AB63" s="179" t="str">
        <f t="shared" si="94"/>
        <v>N.P.</v>
      </c>
      <c r="AC63" s="180" t="str">
        <f t="shared" si="95"/>
        <v>N.P.</v>
      </c>
      <c r="AD63" s="178" t="str">
        <f t="shared" si="96"/>
        <v>N.P.</v>
      </c>
      <c r="AE63" s="179" t="str">
        <f t="shared" si="97"/>
        <v>N.P.</v>
      </c>
      <c r="AF63" s="179" t="str">
        <f t="shared" si="98"/>
        <v>N.P.</v>
      </c>
      <c r="AG63" s="179" t="str">
        <f t="shared" si="99"/>
        <v>N.P.</v>
      </c>
      <c r="AH63" s="179" t="str">
        <f t="shared" si="100"/>
        <v>N.P.</v>
      </c>
      <c r="AI63" s="179" t="str">
        <f t="shared" si="101"/>
        <v>N.P.</v>
      </c>
      <c r="AJ63" s="179" t="str">
        <f t="shared" si="102"/>
        <v>N.P.</v>
      </c>
      <c r="AK63" s="179" t="str">
        <f t="shared" si="103"/>
        <v>N.P.</v>
      </c>
      <c r="AL63" s="180" t="str">
        <f t="shared" si="104"/>
        <v>N.P.</v>
      </c>
      <c r="AM63" s="178" t="str">
        <f t="shared" si="105"/>
        <v>N.P.</v>
      </c>
      <c r="AN63" s="179" t="str">
        <f t="shared" si="106"/>
        <v>N.P.</v>
      </c>
      <c r="AO63" s="179" t="str">
        <f t="shared" si="107"/>
        <v>N.P.</v>
      </c>
      <c r="AP63" s="179" t="str">
        <f t="shared" si="108"/>
        <v>N.P.</v>
      </c>
      <c r="AQ63" s="179" t="str">
        <f t="shared" si="109"/>
        <v>N.P.</v>
      </c>
      <c r="AR63" s="179" t="str">
        <f t="shared" si="110"/>
        <v>N.P.</v>
      </c>
      <c r="AS63" s="179" t="str">
        <f t="shared" si="111"/>
        <v>N.P.</v>
      </c>
      <c r="AT63" s="179" t="str">
        <f t="shared" si="112"/>
        <v>N.P.</v>
      </c>
      <c r="AU63" s="179" t="str">
        <f t="shared" si="113"/>
        <v>N.P.</v>
      </c>
      <c r="AV63" s="186">
        <f t="shared" si="114"/>
        <v>123685.56255325544</v>
      </c>
      <c r="AW63" s="187">
        <f t="shared" si="115"/>
        <v>123685.349134126</v>
      </c>
      <c r="AX63" s="178" t="str">
        <f t="shared" si="116"/>
        <v>N.P.</v>
      </c>
      <c r="AY63" s="179" t="str">
        <f t="shared" si="117"/>
        <v>N.P.</v>
      </c>
      <c r="AZ63" s="179" t="str">
        <f t="shared" si="118"/>
        <v>N.P.</v>
      </c>
      <c r="BA63" s="179" t="str">
        <f t="shared" si="119"/>
        <v>N.P.</v>
      </c>
      <c r="BB63" s="179" t="str">
        <f t="shared" si="120"/>
        <v>N.P.</v>
      </c>
      <c r="BC63" s="179" t="str">
        <f t="shared" si="121"/>
        <v>N.P.</v>
      </c>
      <c r="BD63" s="179" t="str">
        <f t="shared" si="122"/>
        <v>N.P.</v>
      </c>
      <c r="BE63" s="179" t="str">
        <f t="shared" si="123"/>
        <v>N.P.</v>
      </c>
      <c r="BF63" s="179" t="str">
        <f t="shared" si="124"/>
        <v>N.P.</v>
      </c>
      <c r="BG63" s="179" t="str">
        <f t="shared" si="125"/>
        <v>N.P.</v>
      </c>
      <c r="BH63" s="179" t="str">
        <f t="shared" si="126"/>
        <v>N.P.</v>
      </c>
      <c r="BI63" s="179" t="str">
        <f t="shared" si="127"/>
        <v>N.P.</v>
      </c>
      <c r="BJ63" s="179" t="str">
        <f t="shared" si="128"/>
        <v>N.P.</v>
      </c>
      <c r="BK63" s="21">
        <v>6</v>
      </c>
    </row>
    <row r="64" spans="1:63" ht="12.75">
      <c r="A64" s="46"/>
      <c r="B64" s="46"/>
      <c r="C64" s="699">
        <f>J64-J66</f>
        <v>0.0009874221286736429</v>
      </c>
      <c r="D64" s="382">
        <v>9.1937E-10</v>
      </c>
      <c r="E64" s="193">
        <f>(((3.1415926535*(5/3)^(1/2)*O$4*D64*C$8)/C$5)^2*A$22)/(B15+A27)^3</f>
        <v>1889.4111891531134</v>
      </c>
      <c r="F64" s="194">
        <f>(((C5*C8*O4)/(8^(1/2)*3.1415926535*C10^2*C7*O3))^2)*(A22^3/(B15+A27))</f>
        <v>1.4259099647380533</v>
      </c>
      <c r="G64" s="645">
        <f>(2*3.142*$O$4^2*$C$8*$D64*K64)/(3*$C$5*$O$6*(L64+$A$27)^2)</f>
        <v>63.530952847959036</v>
      </c>
      <c r="H64" s="650">
        <f>(2*3.142*$C$8*$O$4*D64)/(3*$C$5*$A$27)</f>
        <v>15.874092907063037</v>
      </c>
      <c r="I64" s="284">
        <f>-$C$5*$H$6*$C$7^2/A22^2*(1+($B$30^2*$C$7^2/A22^2)*(A22/(B15)-(O4/O6)*(1-(B30^2*C7^2/2*K64^2)*(2*K64^2/L64^2-1)-A48*O4/O3)*A22*A27*G64/((B15+A27)*B15)+2*O4^2/(O3*O6)*A48*B48*(A22*A27*A44*H64/(B15*(B15+A27)^2))-0.75-E64-F64))</f>
        <v>-3.3987014918379345E-13</v>
      </c>
      <c r="J64" s="472">
        <f t="shared" si="43"/>
        <v>107964.94627510523</v>
      </c>
      <c r="K64" s="79">
        <v>8</v>
      </c>
      <c r="L64" s="83">
        <v>0.5</v>
      </c>
      <c r="M64" s="76" t="s">
        <v>7</v>
      </c>
      <c r="N64" s="683" t="str">
        <f t="shared" si="80"/>
        <v>N.P.</v>
      </c>
      <c r="O64" s="144" t="str">
        <f aca="true" t="shared" si="130" ref="O64:O78">IF(AND($BK64-N$79&lt;&gt;2,$BK64-N$79&lt;&gt;-2,OR(L64-O$13=1,$L64-O$13=-1)),IF($K64&lt;&gt;O$12,-($C$5*$C$8/($I$16-$I64))*100000000/$Q$10,"N.P."),"N.P.")</f>
        <v>N.P.</v>
      </c>
      <c r="P64" s="153">
        <f aca="true" t="shared" si="131" ref="P64:P78">IF(AND($BK64-O$79&lt;&gt;2,$BK64-O$79&lt;&gt;-2,OR($L64-P$13=1,$L64-P$13=-1)),IF(K64&lt;&gt;P$12,-($C$5*$C$8/($I$17-$I64))*100000000/$Q$10,"N.P."),"N.P.")</f>
        <v>3889.0757654773615</v>
      </c>
      <c r="Q64" s="154">
        <f aca="true" t="shared" si="132" ref="Q64:Q78">IF(AND($BK64-P$79&lt;&gt;2,$BK64-P$79&lt;&gt;-2,OR($L64-Q$13=1,$L64-Q$13=-1)),IF($K64&lt;&gt;Q$12,-($C$5*$C$8/($I$18-I64))*100000000/$Q$10,"N.P."),"N.P.")</f>
        <v>3889.0205247357676</v>
      </c>
      <c r="R64" s="159" t="str">
        <f aca="true" t="shared" si="133" ref="R64:R78">IF(AND($BK64-Q$79&lt;&gt;2,$BK64-Q$79&lt;&gt;-2,OR($L64-R$13=1,$L64-R$13=-1)),IF($K64&lt;&gt;R$12,-($C$5*$C$8/($I$19-$I64))*100000000/$W$10,"N.P."),"N.P.")</f>
        <v>N.P.</v>
      </c>
      <c r="S64" s="172">
        <f aca="true" t="shared" si="134" ref="S64:S78">IF(AND($BK64-R$79&lt;&gt;2,$BK64-R$79&lt;&gt;-2,OR($L64-S$13=1,$L64-S$13=-1)),IF($K64&lt;&gt;S$12,-($C$5*$C$8/($I$20-$I64))*100000000/$W$10,"N.P."),"N.P.")</f>
        <v>9545.986993295577</v>
      </c>
      <c r="T64" s="172">
        <f aca="true" t="shared" si="135" ref="T64:T78">IF(AND($BK64-S$79&lt;&gt;2,$BK64-S$79&lt;&gt;-2,OR($L64-T$13=1,$L64-T$13=-1)),IF($K64&lt;&gt;T$12,-($C$5*$C$8/($I$21-$I64))*100000000/$W$10,"N.P."),"N.P.")</f>
        <v>9545.891122542704</v>
      </c>
      <c r="U64" s="85" t="str">
        <f aca="true" t="shared" si="136" ref="U64:U78">IF(AND($BK64-T$79&lt;&gt;2,$BK64-T$79&lt;&gt;-2,OR($L64-U$13=1,$L64-U$13=-1)),IF($K64&lt;&gt;U$12,-($C$5*$C$8/($I$22-$I64))*100000000/$W$10,"N.P."),"N.P.")</f>
        <v>N.P.</v>
      </c>
      <c r="V64" s="160" t="str">
        <f aca="true" t="shared" si="137" ref="V64:V78">IF(AND($BK64-U$79&lt;&gt;2,$BK64-U$79&lt;&gt;-2,OR($L64-V$13=1,$L64-V$13=-1)),IF($K64&lt;&gt;V$12,-($C$5*$C$8/($I$23-$I64))*100000000/$W$10,"N.P."),"N.P.")</f>
        <v>N.P.</v>
      </c>
      <c r="W64" s="174" t="str">
        <f aca="true" t="shared" si="138" ref="W64:W78">IF(AND($BK64-V$79&lt;&gt;2,$BK64-V$79&lt;&gt;-2,OR($L64-W$13=1,$L64-W$13=-1)),IF($K64&lt;&gt;W$12,-($C$5*$C$8/($I$24-$I64))*100000000/$AB$10,"N.P."),"N.P.")</f>
        <v>N.P.</v>
      </c>
      <c r="X64" s="184">
        <f aca="true" t="shared" si="139" ref="X64:X78">IF(AND($BK64-W$79&lt;&gt;2,$BK64-W$79&lt;&gt;-2,OR($L64-X$13=1,$L64-X$13=-1)),IF($K64&lt;&gt;X$12,-($C$5*$C$8/($I$25-$I64))*100000000/$AB$10,"N.P."),"N.P.")</f>
        <v>19445.54384016369</v>
      </c>
      <c r="Y64" s="184">
        <f aca="true" t="shared" si="140" ref="Y64:Y78">IF(AND($BK64-X$79&lt;&gt;2,$BK64-X$79&lt;&gt;-2,OR($L64-Y$13=1,$L64-Y$13=-1)),IF($K64&lt;&gt;Y$12,-($C$5*$C$8/($I$26-$I64))*100000000/$AB$10,"N.P."),"N.P.")</f>
        <v>19445.380596520215</v>
      </c>
      <c r="Z64" s="175" t="str">
        <f aca="true" t="shared" si="141" ref="Z64:Z78">IF(AND($BK64-Y$79&lt;&gt;2,$BK64-Y$79&lt;&gt;-2,OR($L64-Z$13=1,$L64-Z$13=-1)),IF($K64&lt;&gt;Z$12,-($C$5*$C$8/($I$27-$I64))*100000000/$AB$10,"N.P."),"N.P.")</f>
        <v>N.P.</v>
      </c>
      <c r="AA64" s="175" t="str">
        <f aca="true" t="shared" si="142" ref="AA64:AA78">IF(AND($BK64-Z$79&lt;&gt;2,$BK64-Z$79&lt;&gt;-2,OR($L64-AA$13=1,$L64-AA$13=-1)),IF($K64&lt;&gt;AA$12,-($C$5*$C$8/($I$28-$I64))*100000000/$AB$10,"N.P."),"N.P.")</f>
        <v>N.P.</v>
      </c>
      <c r="AB64" s="175" t="str">
        <f aca="true" t="shared" si="143" ref="AB64:AB78">IF(AND($BK64-AA$79&lt;&gt;2,$BK64-AA$79&lt;&gt;-2,OR($L64-AB$13=1,$L64-AB$13=-1)),IF($K64&lt;&gt;AB$12,-($C$5*$C$8/($I$29-$I64))*100000000/$AB$10,"N.P."),"N.P.")</f>
        <v>N.P.</v>
      </c>
      <c r="AC64" s="176" t="str">
        <f aca="true" t="shared" si="144" ref="AC64:AC78">IF(AND($BK64-AB$79&lt;&gt;2,$BK64-AB$79&lt;&gt;-2,OR($L64-AC$13=1,$L64-AC$13=-1)),IF($K64&lt;&gt;AC$12,-($C$5*$C$8/($I$30-$I64))*100000000/$AB$10,"N.P."),"N.P.")</f>
        <v>N.P.</v>
      </c>
      <c r="AD64" s="174" t="str">
        <f aca="true" t="shared" si="145" ref="AD64:AD78">IF(AND($BK64-AC$79&lt;&gt;2,$BK64-AC$79&lt;&gt;-2,OR($L64-AD$13=1,$L64-AD$13=-1)),IF($K64&lt;&gt;AD$12,-($C$5*$C$8/($I$31-$I64))*100000000/$AE$10,"N.P."),"N.P.")</f>
        <v>N.P.</v>
      </c>
      <c r="AE64" s="184">
        <f aca="true" t="shared" si="146" ref="AE64:AE78">IF(AND($BK64-AD$79&lt;&gt;2,$BK64-AD$79&lt;&gt;-2,OR($L64-AE$13=1,$L64-AE$13=-1)),IF($K64&lt;&gt;AE$12,-($C$5*$C$8/($I$32-$I64))*100000000/$AE$10,"N.P."),"N.P.")</f>
        <v>37395.28834587868</v>
      </c>
      <c r="AF64" s="184">
        <f aca="true" t="shared" si="147" ref="AF64:AF78">IF(AND($BK64-AE$79&lt;&gt;2,$BK64-AE$79&lt;&gt;-2,OR($L64-AF$13=1,$L64-AF$13=-1)),IF($K64&lt;&gt;AF$12,-($C$5*$C$8/($I$33-$I64))*100000000/$AE$10,"N.P."),"N.P.")</f>
        <v>37394.981998592644</v>
      </c>
      <c r="AG64" s="175" t="str">
        <f aca="true" t="shared" si="148" ref="AG64:AG78">IF(AND($BK64-AF$79&lt;&gt;2,$BK64-AF$79&lt;&gt;-2,OR($L64-AG$13=1,$L64-AG$13=-1)),IF($K64&lt;&gt;AG$12,-($C$5*$C$8/($I$34-$I64))*100000000/$AE$10,"N.P."),"N.P.")</f>
        <v>N.P.</v>
      </c>
      <c r="AH64" s="175" t="str">
        <f aca="true" t="shared" si="149" ref="AH64:AH78">IF(AND($BK64-AG$79&lt;&gt;2,$BK64-AG$79&lt;&gt;-2,OR($L64-AH$13=1,$L64-AH$13=-1)),IF($K64&lt;&gt;AH$12,-($C$5*$C$8/($I$35-$I64))*100000000/$AE$10,"N.P."),"N.P.")</f>
        <v>N.P.</v>
      </c>
      <c r="AI64" s="175" t="str">
        <f aca="true" t="shared" si="150" ref="AI64:AI78">IF(AND($BK64-AH$79&lt;&gt;2,$BK64-AH$79&lt;&gt;-2,OR($L64-AI$13=1,$L64-AI$13=-1)),IF($K64&lt;&gt;AI$12,-($C$5*$C$8/($I$36-$I64))*100000000/$AE$10,"N.P."),"N.P.")</f>
        <v>N.P.</v>
      </c>
      <c r="AJ64" s="175" t="str">
        <f aca="true" t="shared" si="151" ref="AJ64:AJ78">IF(AND($BK64-AI$79&lt;&gt;2,$BK64-AI$79&lt;&gt;-2,OR($L64-AJ$13=1,$L64-AJ$13=-1)),IF($K64&lt;&gt;AJ$12,-($C$5*$C$8/($I$37-$I64))*100000000/$AE$10,"N.P."),"N.P.")</f>
        <v>N.P.</v>
      </c>
      <c r="AK64" s="175" t="str">
        <f aca="true" t="shared" si="152" ref="AK64:AK78">IF(AND($BK64-AJ$79&lt;&gt;2,$BK64-AJ$79&lt;&gt;-2,OR($L64-AK$13=1,$L64-AK$13=-1)),IF($K64&lt;&gt;AK$12,-($C$5*$C$8/($I$38-$I64))*100000000/$AE$10,"N.P."),"N.P.")</f>
        <v>N.P.</v>
      </c>
      <c r="AL64" s="176" t="str">
        <f aca="true" t="shared" si="153" ref="AL64:AL78">IF(AND($BK64-AK$79&lt;&gt;2,$BK64-AK$79&lt;&gt;-2,OR($L64-AL$13=1,$L64-AL$13=-1)),IF($K64&lt;&gt;AL$12,-($C$5*$C$8/($I$39-$I64))*100000000/$AE$10,"N.P."),"N.P.")</f>
        <v>N.P.</v>
      </c>
      <c r="AM64" s="174" t="str">
        <f aca="true" t="shared" si="154" ref="AM64:AM78">IF(AND($BK64-AL$79&lt;&gt;2,$BK64-AL$79&lt;&gt;-2,OR($L64-AM$13=1,$L64-AM$13=-1)),IF($K64&lt;&gt;AM$12,-($C$5*$C$8/($I$40-$I64))*100000000/$AI$10,"N.P."),"N.P.")</f>
        <v>N.P.</v>
      </c>
      <c r="AN64" s="184">
        <f aca="true" t="shared" si="155" ref="AN64:AN78">IF(AND($BK64-AM$79&lt;&gt;2,$BK64-AM$79&lt;&gt;-2,OR($L64-AN$13=1,$L64-AN$13=-1)),IF($K64&lt;&gt;AN$12,-($C$5*$C$8/($I$41-$I64))*100000000/$AI$10,"N.P."),"N.P.")</f>
        <v>75004.4125277241</v>
      </c>
      <c r="AO64" s="184">
        <f aca="true" t="shared" si="156" ref="AO64:AO78">IF(AND($BK64-AN$79&lt;&gt;2,$BK64-AN$79&lt;&gt;-2,OR($L64-AO$13=1,$L64-AO$13=-1)),IF($K64&lt;&gt;AO$12,-($C$5*$C$8/($I$42-$I64))*100000000/$AI$10,"N.P."),"N.P.")</f>
        <v>75003.6572370597</v>
      </c>
      <c r="AP64" s="175" t="str">
        <f aca="true" t="shared" si="157" ref="AP64:AP78">IF(AND($BK64-AO$79&lt;&gt;2,$BK64-AO$79&lt;&gt;-2,OR($L64-AP$13=1,$L64-AP$13=-1)),IF($K64&lt;&gt;AP$12,-($C$5*$C$8/($I$43-$I64))*100000000/$AI$10,"N.P."),"N.P.")</f>
        <v>N.P.</v>
      </c>
      <c r="AQ64" s="175" t="str">
        <f aca="true" t="shared" si="158" ref="AQ64:AQ78">IF(AND($BK64-AP$79&lt;&gt;2,$BK64-AP$79&lt;&gt;-2,OR($L64-AQ$13=1,$L64-AQ$13=-1)),IF($K64&lt;&gt;AQ$12,-($C$5*$C$8/($I$44-$I64))*100000000/$AI$10,"N.P."),"N.P.")</f>
        <v>N.P.</v>
      </c>
      <c r="AR64" s="175" t="str">
        <f aca="true" t="shared" si="159" ref="AR64:AR78">IF(AND($BK64-AQ$79&lt;&gt;2,$BK64-AQ$79&lt;&gt;-2,OR($L64-AR$13=1,$L64-AR$13=-1)),IF($K64&lt;&gt;AR$12,-($C$5*$C$8/($I$45-$I64))*100000000/$AI$10,"N.P."),"N.P.")</f>
        <v>N.P.</v>
      </c>
      <c r="AS64" s="175" t="str">
        <f aca="true" t="shared" si="160" ref="AS64:AS78">IF(AND($BK64-AR$79&lt;&gt;2,$BK64-AR$79&lt;&gt;-2,OR($L64-AS$13=1,$L64-AS$13=-1)),IF($K64&lt;&gt;AS$12,-($C$5*$C$8/($I$46-$I64))*100000000/$AI$10,"N.P."),"N.P.")</f>
        <v>N.P.</v>
      </c>
      <c r="AT64" s="175" t="str">
        <f aca="true" t="shared" si="161" ref="AT64:AT78">IF(AND($BK64-AS$79&lt;&gt;2,$BK64-AS$79&lt;&gt;-2,OR($L64-AT$13=1,$L64-AT$13=-1)),IF($K64&lt;&gt;AT$12,-($C$5*$C$8/($I$47-$I64))*100000000/$AI$10,"N.P."),"N.P.")</f>
        <v>N.P.</v>
      </c>
      <c r="AU64" s="175" t="str">
        <f aca="true" t="shared" si="162" ref="AU64:AU78">IF(AND($BK64-AT$79&lt;&gt;2,$BK64-AT$79&lt;&gt;-2,OR($L64-AU$13=1,$L64-AU$13=-1)),IF($K64&lt;&gt;AU$12,-($C$5*$C$8/($I$48-$I64))*100000000/$AI$10,"N.P."),"N.P.")</f>
        <v>N.P.</v>
      </c>
      <c r="AV64" s="175" t="str">
        <f aca="true" t="shared" si="163" ref="AV64:AV78">IF(AND($BK64-AU$79&lt;&gt;2,$BK64-AU$79&lt;&gt;-2,OR($L64-AV$13=1,$L64-AV$13=-1)),IF($K64&lt;&gt;AV$12,-($C$5*$C$8/($I$49-$I64))*100000000/$AI$10,"N.P."),"N.P.")</f>
        <v>N.P.</v>
      </c>
      <c r="AW64" s="176" t="str">
        <f aca="true" t="shared" si="164" ref="AW64:AW78">IF(AND($BK64-AV$79&lt;&gt;2,$BK64-AV$79&lt;&gt;-2,OR($L64-AW$13=1,$L64-AW$13=-1)),IF($K64&lt;&gt;AW$12,-($C$5*$C$8/($I$50-$I64))*100000000/$AI$10,"N.P."),"N.P.")</f>
        <v>N.P.</v>
      </c>
      <c r="AX64" s="192" t="str">
        <f aca="true" t="shared" si="165" ref="AX64:AX78">IF(AND($BK64-AW$79&lt;&gt;2,$BK64-AW$79&lt;&gt;-2,OR($L64-AX$13=1,$L64-AX$13=-1)),IF($K64&lt;&gt;AX$12,-($C$5*$C$8/($I$51-$I64))*100000000/$AK$10,"N.P."),"N.P.")</f>
        <v>N.P.</v>
      </c>
      <c r="AY64" s="184">
        <f aca="true" t="shared" si="166" ref="AY64:AY78">IF(AND($BK64-AX$79&lt;&gt;2,$BK64-AX$79&lt;&gt;-2,OR($L64-AY$13=1,$L64-AY$13=-1)),IF($K64&lt;&gt;AY$12,-($C$5*$C$8/($I$52-$I64))*100000000/$AK$10,"N.P."),"N.P.")</f>
        <v>190564.37352572003</v>
      </c>
      <c r="AZ64" s="184">
        <f aca="true" t="shared" si="167" ref="AZ64:AZ78">IF(AND($BK64-AY$79&lt;&gt;2,$BK64-AY$79&lt;&gt;-2,OR($L64-AZ$13=1,$L64-AZ$13=-1)),IF($K64&lt;&gt;AZ$12,-($C$5*$C$8/($I$53-$I64))*100000000/$AK$10,"N.P."),"N.P.")</f>
        <v>190564.46893446372</v>
      </c>
      <c r="BA64" s="175" t="str">
        <f aca="true" t="shared" si="168" ref="BA64:BA78">IF(AND($BK64-AZ$79&lt;&gt;2,$BK64-AZ$79&lt;&gt;-2,OR($L64-BA$13=1,$L64-BA$13=-1)),IF($K64&lt;&gt;BA$12,-($C$5*$C$8/($I$54-$I64))*100000000/$AK$10,"N.P."),"N.P.")</f>
        <v>N.P.</v>
      </c>
      <c r="BB64" s="175" t="str">
        <f aca="true" t="shared" si="169" ref="BB64:BB78">IF(AND($BK64-BA$79&lt;&gt;2,$BK64-BA$79&lt;&gt;-2,OR($L64-BB$13=1,$L64-BB$13=-1)),IF($K64&lt;&gt;BB$12,-($C$5*$C$8/($I$55-$I64))*100000000/$AK$10,"N.P."),"N.P.")</f>
        <v>N.P.</v>
      </c>
      <c r="BC64" s="175" t="str">
        <f aca="true" t="shared" si="170" ref="BC64:BC78">IF(AND($BK64-BB$79&lt;&gt;2,$BK64-BB$79&lt;&gt;-2,OR($L64-BC$13=1,$L64-BC$13=-1)),IF($K64&lt;&gt;BC$12,-($C$5*$C$8/($I$56-$I64))*100000000/$AK$10,"N.P."),"N.P.")</f>
        <v>N.P.</v>
      </c>
      <c r="BD64" s="175" t="str">
        <f aca="true" t="shared" si="171" ref="BD64:BD78">IF(AND($BK64-BC$79&lt;&gt;2,$BK64-BC$79&lt;&gt;-2,OR($L64-BD$13=1,$L64-BD$13=-1)),IF($K64&lt;&gt;BD$12,-($C$5*$C$8/($I$57-$I64))*100000000/$AK$10,"N.P."),"N.P.")</f>
        <v>N.P.</v>
      </c>
      <c r="BE64" s="175" t="str">
        <f aca="true" t="shared" si="172" ref="BE64:BE78">IF(AND($BK64-BD$79&lt;&gt;2,$BK64-BD$79&lt;&gt;-2,OR($L64-BE$13=1,$L64-BE$13=-1)),IF($K64&lt;&gt;BE$12,-($C$5*$C$8/($I$58-$I64))*100000000/$AK$10,"N.P."),"N.P.")</f>
        <v>N.P.</v>
      </c>
      <c r="BF64" s="175" t="str">
        <f aca="true" t="shared" si="173" ref="BF64:BF78">IF(AND($BK64-BE$79&lt;&gt;2,$BK64-BE$79&lt;&gt;-2,OR($L64-BF$13=1,$L64-BF$13=-1)),IF($K64&lt;&gt;BF$12,-($C$5*$C$8/($I$59-$I64))*100000000/$AK$10,"N.P."),"N.P.")</f>
        <v>N.P.</v>
      </c>
      <c r="BG64" s="175" t="str">
        <f aca="true" t="shared" si="174" ref="BG64:BG78">IF(AND($BK64-BF$79&lt;&gt;2,$BK64-BF$79&lt;&gt;-2,OR($L64-BG$13=1,$L64-BG$13=-1)),IF($K64&lt;&gt;BG$12,-($C$5*$C$8/($I$60-$I64))*100000000/$AK$10,"N.P."),"N.P.")</f>
        <v>N.P.</v>
      </c>
      <c r="BH64" s="175" t="str">
        <f aca="true" t="shared" si="175" ref="BH64:BH78">IF(AND($BK64-BG$79&lt;&gt;2,$BK64-BG$79&lt;&gt;-2,OR($L64-BH$13=1,$L64-BH$13=-1)),IF($K64&lt;&gt;BH$12,-($C$5*$C$8/($I$61-$I64))*100000000/$AK$10,"N.P."),"N.P.")</f>
        <v>N.P.</v>
      </c>
      <c r="BI64" s="175" t="str">
        <f aca="true" t="shared" si="176" ref="BI64:BI78">IF(AND($BK64-BH$79&lt;&gt;2,$BK64-BH$79&lt;&gt;-2,OR($L64-BI$13=1,$L64-BI$13=-1)),IF($K64&lt;&gt;BI$12,-($C$5*$C$8/($I$62-$I64))*100000000/$AK$10,"N.P."),"N.P.")</f>
        <v>N.P.</v>
      </c>
      <c r="BJ64" s="175" t="str">
        <f aca="true" t="shared" si="177" ref="BJ64:BJ78">IF(AND($BK64-BI$79&lt;&gt;2,$BK64-BI$79&lt;&gt;-2,OR($L64-BJ$13=1,$L64-BJ$13=-1)),IF($K64&lt;&gt;BJ$12,-($C$5*$C$8/($I$63-$I64))*100000000/$AK$10,"N.P."),"N.P.")</f>
        <v>N.P.</v>
      </c>
      <c r="BK64" s="20">
        <v>1</v>
      </c>
    </row>
    <row r="65" spans="1:63" ht="12.75">
      <c r="A65" s="46"/>
      <c r="B65" s="46"/>
      <c r="C65" s="699">
        <f>J65-J64</f>
        <v>-0.0002486053272150457</v>
      </c>
      <c r="D65" s="378">
        <v>2.6005E-09</v>
      </c>
      <c r="E65" s="138">
        <f>(((3.1415926535*(5/3)^(1/2)*O$4*D65*C$8)/C$5)^2*A$22)/(B16+A27)^3</f>
        <v>1889.5985883943074</v>
      </c>
      <c r="F65" s="379">
        <f>(((C5*C8*O4)/(8^(1/2)*3.1415926535*C10^2*C7*O3))^2)*(A22^3/(B16+A27))</f>
        <v>0.7129549823690267</v>
      </c>
      <c r="G65" s="645">
        <f>(2*3.142*$O$4^2*$C$8*$D65*K65)/(3*$C$5*$O$6*(L65+$A$27)^2)</f>
        <v>44.925395347117444</v>
      </c>
      <c r="H65" s="650">
        <f>(2*3.142*$C$8*$O$4*D65)/(3*$C$5*$A$27)</f>
        <v>44.900941519537746</v>
      </c>
      <c r="I65" s="284">
        <f>-$C$5*$H$6*$C$7^2/A22^2*(1+($B$30^2*$C$7^2/A22^2)*(A22/(B16)-(O4/O6)*(1-(B30^2*C7^2/2*K65^2)*(2*K65^2/L65^2-1)-A48*O4/O3)*A22*A27*G65/((B16+A27)*B16)+2*O4^2/(O3*O6)*A48*B48*(A22*A27*A44*H65/(B16*(B16+A27)^2))-0.75-E65-F65))</f>
        <v>-3.398701985679378E-13</v>
      </c>
      <c r="J65" s="472">
        <f t="shared" si="43"/>
        <v>107964.9460264999</v>
      </c>
      <c r="K65" s="82">
        <v>8</v>
      </c>
      <c r="L65" s="83">
        <v>1.5</v>
      </c>
      <c r="M65" s="83" t="s">
        <v>8</v>
      </c>
      <c r="N65" s="684">
        <f t="shared" si="80"/>
        <v>926.2256963152201</v>
      </c>
      <c r="O65" s="158">
        <f t="shared" si="130"/>
        <v>3889.0259003108354</v>
      </c>
      <c r="P65" s="145" t="str">
        <f t="shared" si="131"/>
        <v>N.P.</v>
      </c>
      <c r="Q65" s="146" t="str">
        <f t="shared" si="132"/>
        <v>N.P.</v>
      </c>
      <c r="R65" s="158">
        <f t="shared" si="133"/>
        <v>9545.900941613152</v>
      </c>
      <c r="S65" s="85" t="str">
        <f t="shared" si="134"/>
        <v>N.P.</v>
      </c>
      <c r="T65" s="85" t="str">
        <f t="shared" si="135"/>
        <v>N.P.</v>
      </c>
      <c r="U65" s="172">
        <f t="shared" si="136"/>
        <v>9546.022351748532</v>
      </c>
      <c r="V65" s="173">
        <f t="shared" si="137"/>
        <v>9545.989799880357</v>
      </c>
      <c r="W65" s="188">
        <f t="shared" si="138"/>
        <v>19445.398099298825</v>
      </c>
      <c r="X65" s="175" t="str">
        <f t="shared" si="139"/>
        <v>N.P.</v>
      </c>
      <c r="Y65" s="175" t="str">
        <f t="shared" si="140"/>
        <v>N.P.</v>
      </c>
      <c r="Z65" s="184">
        <f t="shared" si="141"/>
        <v>19445.625269348275</v>
      </c>
      <c r="AA65" s="184">
        <f t="shared" si="142"/>
        <v>19445.56834946421</v>
      </c>
      <c r="AB65" s="175" t="str">
        <f t="shared" si="143"/>
        <v>N.P.</v>
      </c>
      <c r="AC65" s="176" t="str">
        <f t="shared" si="144"/>
        <v>N.P.</v>
      </c>
      <c r="AD65" s="188">
        <f t="shared" si="145"/>
        <v>37395.01710802594</v>
      </c>
      <c r="AE65" s="175" t="str">
        <f t="shared" si="146"/>
        <v>N.P.</v>
      </c>
      <c r="AF65" s="175" t="str">
        <f t="shared" si="147"/>
        <v>N.P.</v>
      </c>
      <c r="AG65" s="184">
        <f t="shared" si="148"/>
        <v>37395.477476223874</v>
      </c>
      <c r="AH65" s="184">
        <f t="shared" si="149"/>
        <v>37395.363860374506</v>
      </c>
      <c r="AI65" s="175" t="str">
        <f t="shared" si="150"/>
        <v>N.P.</v>
      </c>
      <c r="AJ65" s="175" t="str">
        <f t="shared" si="151"/>
        <v>N.P.</v>
      </c>
      <c r="AK65" s="175" t="str">
        <f t="shared" si="152"/>
        <v>N.P.</v>
      </c>
      <c r="AL65" s="176" t="str">
        <f t="shared" si="153"/>
        <v>N.P.</v>
      </c>
      <c r="AM65" s="188">
        <f t="shared" si="154"/>
        <v>75003.74436235709</v>
      </c>
      <c r="AN65" s="175" t="str">
        <f t="shared" si="155"/>
        <v>N.P.</v>
      </c>
      <c r="AO65" s="175" t="str">
        <f t="shared" si="156"/>
        <v>N.P.</v>
      </c>
      <c r="AP65" s="184">
        <f t="shared" si="157"/>
        <v>75004.80606462758</v>
      </c>
      <c r="AQ65" s="184">
        <f t="shared" si="158"/>
        <v>75004.54335038218</v>
      </c>
      <c r="AR65" s="175" t="str">
        <f t="shared" si="159"/>
        <v>N.P.</v>
      </c>
      <c r="AS65" s="175" t="str">
        <f t="shared" si="160"/>
        <v>N.P.</v>
      </c>
      <c r="AT65" s="175" t="str">
        <f t="shared" si="161"/>
        <v>N.P.</v>
      </c>
      <c r="AU65" s="175" t="str">
        <f t="shared" si="162"/>
        <v>N.P.</v>
      </c>
      <c r="AV65" s="175" t="str">
        <f t="shared" si="163"/>
        <v>N.P.</v>
      </c>
      <c r="AW65" s="176" t="str">
        <f t="shared" si="164"/>
        <v>N.P.</v>
      </c>
      <c r="AX65" s="195">
        <f t="shared" si="165"/>
        <v>190564.83907707623</v>
      </c>
      <c r="AY65" s="175" t="str">
        <f t="shared" si="166"/>
        <v>N.P.</v>
      </c>
      <c r="AZ65" s="175" t="str">
        <f t="shared" si="167"/>
        <v>N.P.</v>
      </c>
      <c r="BA65" s="184">
        <f t="shared" si="168"/>
        <v>190566.49215869524</v>
      </c>
      <c r="BB65" s="184">
        <f t="shared" si="169"/>
        <v>190565.83426778417</v>
      </c>
      <c r="BC65" s="175" t="str">
        <f t="shared" si="170"/>
        <v>N.P.</v>
      </c>
      <c r="BD65" s="175" t="str">
        <f t="shared" si="171"/>
        <v>N.P.</v>
      </c>
      <c r="BE65" s="175" t="str">
        <f t="shared" si="172"/>
        <v>N.P.</v>
      </c>
      <c r="BF65" s="175" t="str">
        <f t="shared" si="173"/>
        <v>N.P.</v>
      </c>
      <c r="BG65" s="175" t="str">
        <f t="shared" si="174"/>
        <v>N.P.</v>
      </c>
      <c r="BH65" s="175" t="str">
        <f t="shared" si="175"/>
        <v>N.P.</v>
      </c>
      <c r="BI65" s="175" t="str">
        <f t="shared" si="176"/>
        <v>N.P.</v>
      </c>
      <c r="BJ65" s="175" t="str">
        <f t="shared" si="177"/>
        <v>N.P.</v>
      </c>
      <c r="BK65" s="20">
        <v>2</v>
      </c>
    </row>
    <row r="66" spans="1:63" ht="12.75">
      <c r="A66" s="46"/>
      <c r="B66" s="46"/>
      <c r="C66" s="699"/>
      <c r="D66" s="378">
        <v>9.701E-10</v>
      </c>
      <c r="E66" s="138">
        <f>(((3.1415926535*(5/3)^(1/2)*O$4*D66*C$8)/C$5)^2*A$22)/(B16+A28)^3</f>
        <v>2103.675920033674</v>
      </c>
      <c r="F66" s="379">
        <f>(((C5*C8*O4)/(8^(1/2)*3.1415926535*C10^2*C7*O3))^2)*(A22^3/(B16+A28))</f>
        <v>1.4259099647380533</v>
      </c>
      <c r="G66" s="645">
        <f>(2*3.142*$O$4^2*$C$8*$D66*K66)/(3*$C$5*$O$6*(L66+$A$28)^2)</f>
        <v>67.03653301478737</v>
      </c>
      <c r="H66" s="650">
        <f>(2*3.142*$C$8*$O$4*D66)/(3*$C$5*$A$28)</f>
        <v>-16.75001090871124</v>
      </c>
      <c r="I66" s="284">
        <f>-$C$5*$H$6*$C$7^2/A22^2*(1+($B$30^2*$C$7^2/A22^2)*(A22/(B16)-(O4/O6)*(1-(B30^2*C7^2/2*K66^2)*(2*K66^2/L66^2-1)-A48*O4/O3)*A22*A28*G66/((B16+A28)*B16)+2*O4^2/(O3*O6)*A48*B48*(A22*A28*A45*H66/(B16*(B16+A28)^2))-0.75-E66-F66))</f>
        <v>-3.398703453300134E-13</v>
      </c>
      <c r="J66" s="472">
        <f t="shared" si="43"/>
        <v>107964.9452876831</v>
      </c>
      <c r="K66" s="82">
        <v>8</v>
      </c>
      <c r="L66" s="83">
        <v>1.5</v>
      </c>
      <c r="M66" s="83" t="s">
        <v>9</v>
      </c>
      <c r="N66" s="684">
        <f t="shared" si="80"/>
        <v>926.2257026534913</v>
      </c>
      <c r="O66" s="158">
        <f t="shared" si="130"/>
        <v>3889.0260120851212</v>
      </c>
      <c r="P66" s="145" t="str">
        <f t="shared" si="131"/>
        <v>N.P.</v>
      </c>
      <c r="Q66" s="146" t="str">
        <f t="shared" si="132"/>
        <v>N.P.</v>
      </c>
      <c r="R66" s="158">
        <f t="shared" si="133"/>
        <v>9545.901615039582</v>
      </c>
      <c r="S66" s="85" t="str">
        <f t="shared" si="134"/>
        <v>N.P.</v>
      </c>
      <c r="T66" s="85" t="str">
        <f t="shared" si="135"/>
        <v>N.P.</v>
      </c>
      <c r="U66" s="85" t="str">
        <f t="shared" si="136"/>
        <v>N.P.</v>
      </c>
      <c r="V66" s="173">
        <f t="shared" si="137"/>
        <v>9545.990473319322</v>
      </c>
      <c r="W66" s="188">
        <f t="shared" si="138"/>
        <v>19445.40089370452</v>
      </c>
      <c r="X66" s="175" t="str">
        <f t="shared" si="139"/>
        <v>N.P.</v>
      </c>
      <c r="Y66" s="175" t="str">
        <f t="shared" si="140"/>
        <v>N.P.</v>
      </c>
      <c r="Z66" s="175" t="str">
        <f t="shared" si="141"/>
        <v>N.P.</v>
      </c>
      <c r="AA66" s="184">
        <f t="shared" si="142"/>
        <v>19445.57114391883</v>
      </c>
      <c r="AB66" s="175" t="str">
        <f t="shared" si="143"/>
        <v>N.P.</v>
      </c>
      <c r="AC66" s="176" t="str">
        <f t="shared" si="144"/>
        <v>N.P.</v>
      </c>
      <c r="AD66" s="188">
        <f t="shared" si="145"/>
        <v>37395.02744237628</v>
      </c>
      <c r="AE66" s="175" t="str">
        <f t="shared" si="146"/>
        <v>N.P.</v>
      </c>
      <c r="AF66" s="175" t="str">
        <f t="shared" si="147"/>
        <v>N.P.</v>
      </c>
      <c r="AG66" s="175" t="str">
        <f t="shared" si="148"/>
        <v>N.P.</v>
      </c>
      <c r="AH66" s="184">
        <f t="shared" si="149"/>
        <v>37395.37419491649</v>
      </c>
      <c r="AI66" s="175" t="str">
        <f t="shared" si="150"/>
        <v>N.P.</v>
      </c>
      <c r="AJ66" s="175" t="str">
        <f t="shared" si="151"/>
        <v>N.P.</v>
      </c>
      <c r="AK66" s="175" t="str">
        <f t="shared" si="152"/>
        <v>N.P.</v>
      </c>
      <c r="AL66" s="176" t="str">
        <f t="shared" si="153"/>
        <v>N.P.</v>
      </c>
      <c r="AM66" s="188">
        <f t="shared" si="154"/>
        <v>75003.78593634485</v>
      </c>
      <c r="AN66" s="175" t="str">
        <f t="shared" si="155"/>
        <v>N.P.</v>
      </c>
      <c r="AO66" s="175" t="str">
        <f t="shared" si="156"/>
        <v>N.P.</v>
      </c>
      <c r="AP66" s="175" t="str">
        <f t="shared" si="157"/>
        <v>N.P.</v>
      </c>
      <c r="AQ66" s="184">
        <f t="shared" si="158"/>
        <v>75004.58492525571</v>
      </c>
      <c r="AR66" s="175" t="str">
        <f t="shared" si="159"/>
        <v>N.P.</v>
      </c>
      <c r="AS66" s="175" t="str">
        <f t="shared" si="160"/>
        <v>N.P.</v>
      </c>
      <c r="AT66" s="175" t="str">
        <f t="shared" si="161"/>
        <v>N.P.</v>
      </c>
      <c r="AU66" s="175" t="str">
        <f t="shared" si="162"/>
        <v>N.P.</v>
      </c>
      <c r="AV66" s="175" t="str">
        <f t="shared" si="163"/>
        <v>N.P.</v>
      </c>
      <c r="AW66" s="176" t="str">
        <f t="shared" si="164"/>
        <v>N.P.</v>
      </c>
      <c r="AX66" s="195">
        <f t="shared" si="165"/>
        <v>190565.1074518558</v>
      </c>
      <c r="AY66" s="175" t="str">
        <f t="shared" si="166"/>
        <v>N.P.</v>
      </c>
      <c r="AZ66" s="175" t="str">
        <f t="shared" si="167"/>
        <v>N.P.</v>
      </c>
      <c r="BA66" s="175" t="str">
        <f t="shared" si="168"/>
        <v>N.P.</v>
      </c>
      <c r="BB66" s="184">
        <f t="shared" si="169"/>
        <v>190566.10264536683</v>
      </c>
      <c r="BC66" s="175" t="str">
        <f t="shared" si="170"/>
        <v>N.P.</v>
      </c>
      <c r="BD66" s="175" t="str">
        <f t="shared" si="171"/>
        <v>N.P.</v>
      </c>
      <c r="BE66" s="175" t="str">
        <f t="shared" si="172"/>
        <v>N.P.</v>
      </c>
      <c r="BF66" s="175" t="str">
        <f t="shared" si="173"/>
        <v>N.P.</v>
      </c>
      <c r="BG66" s="175" t="str">
        <f t="shared" si="174"/>
        <v>N.P.</v>
      </c>
      <c r="BH66" s="175" t="str">
        <f t="shared" si="175"/>
        <v>N.P.</v>
      </c>
      <c r="BI66" s="175" t="str">
        <f t="shared" si="176"/>
        <v>N.P.</v>
      </c>
      <c r="BJ66" s="175" t="str">
        <f t="shared" si="177"/>
        <v>N.P.</v>
      </c>
      <c r="BK66" s="20">
        <v>1</v>
      </c>
    </row>
    <row r="67" spans="1:63" ht="12.75">
      <c r="A67" s="46"/>
      <c r="B67" s="46"/>
      <c r="C67" s="699">
        <f>J67-J68</f>
        <v>0.0007613563648192212</v>
      </c>
      <c r="D67" s="378">
        <v>4.82E-09</v>
      </c>
      <c r="E67" s="138">
        <f>(((3.1415926535*(5/3)^(1/2)*O$4*D67*C$8)/C$5)^2*A$22)/(B17+A27)^3</f>
        <v>1923.4289078874451</v>
      </c>
      <c r="F67" s="379">
        <f>(((C5*C8*O4)/(8^(1/2)*3.1415926535*C10^2*C7*O3))^2)*(A22^3/(B17+A27))</f>
        <v>0.47530332157935107</v>
      </c>
      <c r="G67" s="645">
        <f>(2*3.142*$O$4^2*$C$8*$D67*K67)/(3*$C$5*$O$6*(L67+$A$27)^2)</f>
        <v>37.0083369562445</v>
      </c>
      <c r="H67" s="650">
        <f>(2*3.142*$C$8*$O$4*D67)/(3*$C$5*$A$27)</f>
        <v>83.22343323367505</v>
      </c>
      <c r="I67" s="284">
        <f>-$C$5*$H$6*$C$7^2/A22^2*(1+($B$30^2*$C$7^2/A22^2)*(A22/(B17)-(O4/O6)*(1-(B30^2*C7^2/2*K67^2)*(2*K67^2/L67^2-1)-A48*O4/O3)*A22*A27*G67/((B17+A27)*B17)+2*O4^2/(O3*O6)*A48*B48*(A22*A27*A44*H67/(B17*(B17+A27)^2))-0.75-E67-F67))</f>
        <v>-3.398699912028608E-13</v>
      </c>
      <c r="J67" s="472">
        <f t="shared" si="43"/>
        <v>107964.94707039904</v>
      </c>
      <c r="K67" s="82">
        <v>8</v>
      </c>
      <c r="L67" s="83">
        <v>2.5</v>
      </c>
      <c r="M67" s="83" t="s">
        <v>10</v>
      </c>
      <c r="N67" s="683" t="str">
        <f t="shared" si="80"/>
        <v>N.P.</v>
      </c>
      <c r="O67" s="144" t="str">
        <f t="shared" si="130"/>
        <v>N.P.</v>
      </c>
      <c r="P67" s="153">
        <f t="shared" si="131"/>
        <v>3889.075645155694</v>
      </c>
      <c r="Q67" s="146" t="str">
        <f t="shared" si="132"/>
        <v>N.P.</v>
      </c>
      <c r="R67" s="159" t="str">
        <f t="shared" si="133"/>
        <v>N.P.</v>
      </c>
      <c r="S67" s="172">
        <f t="shared" si="134"/>
        <v>9545.9862683778</v>
      </c>
      <c r="T67" s="85" t="str">
        <f t="shared" si="135"/>
        <v>N.P.</v>
      </c>
      <c r="U67" s="85" t="str">
        <f t="shared" si="136"/>
        <v>N.P.</v>
      </c>
      <c r="V67" s="160" t="str">
        <f t="shared" si="137"/>
        <v>N.P.</v>
      </c>
      <c r="W67" s="174" t="str">
        <f t="shared" si="138"/>
        <v>N.P.</v>
      </c>
      <c r="X67" s="184">
        <f t="shared" si="139"/>
        <v>19445.540832102502</v>
      </c>
      <c r="Y67" s="175" t="str">
        <f t="shared" si="140"/>
        <v>N.P.</v>
      </c>
      <c r="Z67" s="175" t="str">
        <f t="shared" si="141"/>
        <v>N.P.</v>
      </c>
      <c r="AA67" s="175" t="str">
        <f t="shared" si="142"/>
        <v>N.P.</v>
      </c>
      <c r="AB67" s="184">
        <f t="shared" si="143"/>
        <v>19445.651833797678</v>
      </c>
      <c r="AC67" s="185">
        <f t="shared" si="144"/>
        <v>19445.620781241312</v>
      </c>
      <c r="AD67" s="174" t="str">
        <f t="shared" si="145"/>
        <v>N.P.</v>
      </c>
      <c r="AE67" s="184">
        <f t="shared" si="146"/>
        <v>37395.27722138997</v>
      </c>
      <c r="AF67" s="175" t="str">
        <f t="shared" si="147"/>
        <v>N.P.</v>
      </c>
      <c r="AG67" s="175" t="str">
        <f t="shared" si="148"/>
        <v>N.P.</v>
      </c>
      <c r="AH67" s="175" t="str">
        <f t="shared" si="149"/>
        <v>N.P.</v>
      </c>
      <c r="AI67" s="184">
        <f t="shared" si="150"/>
        <v>37395.52470467442</v>
      </c>
      <c r="AJ67" s="184">
        <f t="shared" si="151"/>
        <v>37395.46658623608</v>
      </c>
      <c r="AK67" s="175" t="str">
        <f t="shared" si="152"/>
        <v>N.P.</v>
      </c>
      <c r="AL67" s="176" t="str">
        <f t="shared" si="153"/>
        <v>N.P.</v>
      </c>
      <c r="AM67" s="174" t="str">
        <f t="shared" si="154"/>
        <v>N.P.</v>
      </c>
      <c r="AN67" s="184">
        <f t="shared" si="155"/>
        <v>75004.36777497178</v>
      </c>
      <c r="AO67" s="175" t="str">
        <f t="shared" si="156"/>
        <v>N.P.</v>
      </c>
      <c r="AP67" s="175" t="str">
        <f t="shared" si="157"/>
        <v>N.P.</v>
      </c>
      <c r="AQ67" s="175" t="str">
        <f t="shared" si="158"/>
        <v>N.P.</v>
      </c>
      <c r="AR67" s="184">
        <f t="shared" si="159"/>
        <v>75004.88032179927</v>
      </c>
      <c r="AS67" s="184">
        <f t="shared" si="160"/>
        <v>75004.7398912506</v>
      </c>
      <c r="AT67" s="175" t="str">
        <f t="shared" si="161"/>
        <v>N.P.</v>
      </c>
      <c r="AU67" s="175" t="str">
        <f t="shared" si="162"/>
        <v>N.P.</v>
      </c>
      <c r="AV67" s="175" t="str">
        <f t="shared" si="163"/>
        <v>N.P.</v>
      </c>
      <c r="AW67" s="176" t="str">
        <f t="shared" si="164"/>
        <v>N.P.</v>
      </c>
      <c r="AX67" s="192" t="str">
        <f t="shared" si="165"/>
        <v>N.P.</v>
      </c>
      <c r="AY67" s="184">
        <f t="shared" si="166"/>
        <v>190564.08463796304</v>
      </c>
      <c r="AZ67" s="175" t="str">
        <f t="shared" si="167"/>
        <v>N.P.</v>
      </c>
      <c r="BA67" s="175" t="str">
        <f t="shared" si="168"/>
        <v>N.P.</v>
      </c>
      <c r="BB67" s="175" t="str">
        <f t="shared" si="169"/>
        <v>N.P.</v>
      </c>
      <c r="BC67" s="184">
        <f t="shared" si="170"/>
        <v>190566.839280601</v>
      </c>
      <c r="BD67" s="184">
        <f t="shared" si="171"/>
        <v>190566.50788228706</v>
      </c>
      <c r="BE67" s="175" t="str">
        <f t="shared" si="172"/>
        <v>N.P.</v>
      </c>
      <c r="BF67" s="175" t="str">
        <f t="shared" si="173"/>
        <v>N.P.</v>
      </c>
      <c r="BG67" s="175" t="str">
        <f t="shared" si="174"/>
        <v>N.P.</v>
      </c>
      <c r="BH67" s="175" t="str">
        <f t="shared" si="175"/>
        <v>N.P.</v>
      </c>
      <c r="BI67" s="175" t="str">
        <f t="shared" si="176"/>
        <v>N.P.</v>
      </c>
      <c r="BJ67" s="175" t="str">
        <f t="shared" si="177"/>
        <v>N.P.</v>
      </c>
      <c r="BK67" s="20">
        <v>3</v>
      </c>
    </row>
    <row r="68" spans="1:63" ht="12.75">
      <c r="A68" s="46"/>
      <c r="B68" s="46"/>
      <c r="C68" s="699"/>
      <c r="D68" s="378">
        <v>2.66E-09</v>
      </c>
      <c r="E68" s="138">
        <f>(((3.1415926535*(5/3)^(1/2)*O$4*D68*C$8)/C$5)^2*A$22)/(B17+A28)^3</f>
        <v>1977.0566465233194</v>
      </c>
      <c r="F68" s="379">
        <f>(((C5*C8*O4)/(8^(1/2)*3.1415926535*C10^2*C7*O3))^2)*(A22^3/(B17+A28))</f>
        <v>0.7129549823690267</v>
      </c>
      <c r="G68" s="645">
        <f>(2*3.142*$O$4^2*$C$8*$D68*K68)/(3*$C$5*$O$6*(L68+$A$28)^2)</f>
        <v>45.953298067038034</v>
      </c>
      <c r="H68" s="650">
        <f>(2*3.142*$C$8*$O$4*D68)/(3*$C$5*$A$28)</f>
        <v>-45.92828473061736</v>
      </c>
      <c r="I68" s="284">
        <f>-$C$5*$H$6*$C$7^2/A22^2*(1+($B$30^2*$C$7^2/A22^2)*(A22/(B17)-(O4/O6)*(1-(B30^2*C7^2/2*K68^2)*(2*K68^2/L68^2-1)-A48*O4/O3)*A22*A28*G68/((B17+A28)*B17)+2*O4^2/(O3*O6)*A48*B48*(A22*A28*A45*H68/(B17*(B17+A28)^2))-0.75-E68-F68))</f>
        <v>-3.3987014244230356E-13</v>
      </c>
      <c r="J68" s="472">
        <f t="shared" si="43"/>
        <v>107964.94630904267</v>
      </c>
      <c r="K68" s="82">
        <v>8</v>
      </c>
      <c r="L68" s="83">
        <v>2.5</v>
      </c>
      <c r="M68" s="83" t="s">
        <v>11</v>
      </c>
      <c r="N68" s="683" t="str">
        <f t="shared" si="80"/>
        <v>N.P.</v>
      </c>
      <c r="O68" s="144" t="str">
        <f t="shared" si="130"/>
        <v>N.P.</v>
      </c>
      <c r="P68" s="172">
        <f t="shared" si="131"/>
        <v>3889.075760342898</v>
      </c>
      <c r="Q68" s="154">
        <f t="shared" si="132"/>
        <v>3889.0205196014504</v>
      </c>
      <c r="R68" s="159" t="str">
        <f t="shared" si="133"/>
        <v>N.P.</v>
      </c>
      <c r="S68" s="172">
        <f t="shared" si="134"/>
        <v>9545.986962361298</v>
      </c>
      <c r="T68" s="172">
        <f t="shared" si="135"/>
        <v>9545.891091609046</v>
      </c>
      <c r="U68" s="85" t="str">
        <f t="shared" si="136"/>
        <v>N.P.</v>
      </c>
      <c r="V68" s="160" t="str">
        <f t="shared" si="137"/>
        <v>N.P.</v>
      </c>
      <c r="W68" s="174" t="str">
        <f t="shared" si="138"/>
        <v>N.P.</v>
      </c>
      <c r="X68" s="184">
        <f t="shared" si="139"/>
        <v>19445.543711801252</v>
      </c>
      <c r="Y68" s="184">
        <f t="shared" si="140"/>
        <v>19445.38046815994</v>
      </c>
      <c r="Z68" s="175" t="str">
        <f t="shared" si="141"/>
        <v>N.P.</v>
      </c>
      <c r="AA68" s="175" t="str">
        <f t="shared" si="142"/>
        <v>N.P.</v>
      </c>
      <c r="AB68" s="175" t="str">
        <f t="shared" si="143"/>
        <v>N.P.</v>
      </c>
      <c r="AC68" s="185">
        <f t="shared" si="144"/>
        <v>19445.623660963745</v>
      </c>
      <c r="AD68" s="174" t="str">
        <f t="shared" si="145"/>
        <v>N.P.</v>
      </c>
      <c r="AE68" s="184">
        <f t="shared" si="146"/>
        <v>37395.28787116538</v>
      </c>
      <c r="AF68" s="184">
        <f t="shared" si="147"/>
        <v>37394.98152388712</v>
      </c>
      <c r="AG68" s="175" t="str">
        <f t="shared" si="148"/>
        <v>N.P.</v>
      </c>
      <c r="AH68" s="175" t="str">
        <f t="shared" si="149"/>
        <v>N.P.</v>
      </c>
      <c r="AI68" s="175" t="str">
        <f t="shared" si="150"/>
        <v>N.P.</v>
      </c>
      <c r="AJ68" s="184">
        <f t="shared" si="151"/>
        <v>37395.47723611933</v>
      </c>
      <c r="AK68" s="175" t="str">
        <f t="shared" si="152"/>
        <v>N.P.</v>
      </c>
      <c r="AL68" s="176" t="str">
        <f t="shared" si="153"/>
        <v>N.P.</v>
      </c>
      <c r="AM68" s="174" t="str">
        <f t="shared" si="154"/>
        <v>N.P.</v>
      </c>
      <c r="AN68" s="184">
        <f t="shared" si="155"/>
        <v>75004.41061799745</v>
      </c>
      <c r="AO68" s="184">
        <f t="shared" si="156"/>
        <v>75003.65532737148</v>
      </c>
      <c r="AP68" s="175" t="str">
        <f t="shared" si="157"/>
        <v>N.P.</v>
      </c>
      <c r="AQ68" s="175" t="str">
        <f t="shared" si="158"/>
        <v>N.P.</v>
      </c>
      <c r="AR68" s="175" t="str">
        <f t="shared" si="159"/>
        <v>N.P.</v>
      </c>
      <c r="AS68" s="184">
        <f t="shared" si="160"/>
        <v>75004.78273470138</v>
      </c>
      <c r="AT68" s="175" t="str">
        <f t="shared" si="161"/>
        <v>N.P.</v>
      </c>
      <c r="AU68" s="175" t="str">
        <f t="shared" si="162"/>
        <v>N.P.</v>
      </c>
      <c r="AV68" s="175" t="str">
        <f t="shared" si="163"/>
        <v>N.P.</v>
      </c>
      <c r="AW68" s="176" t="str">
        <f t="shared" si="164"/>
        <v>N.P.</v>
      </c>
      <c r="AX68" s="192" t="str">
        <f t="shared" si="165"/>
        <v>N.P.</v>
      </c>
      <c r="AY68" s="184">
        <f t="shared" si="166"/>
        <v>190564.36119805058</v>
      </c>
      <c r="AZ68" s="184">
        <f t="shared" si="167"/>
        <v>190564.45660678193</v>
      </c>
      <c r="BA68" s="175" t="str">
        <f t="shared" si="168"/>
        <v>N.P.</v>
      </c>
      <c r="BB68" s="175" t="str">
        <f t="shared" si="169"/>
        <v>N.P.</v>
      </c>
      <c r="BC68" s="175" t="str">
        <f t="shared" si="170"/>
        <v>N.P.</v>
      </c>
      <c r="BD68" s="184">
        <f t="shared" si="171"/>
        <v>190566.7844494082</v>
      </c>
      <c r="BE68" s="175" t="str">
        <f t="shared" si="172"/>
        <v>N.P.</v>
      </c>
      <c r="BF68" s="175" t="str">
        <f t="shared" si="173"/>
        <v>N.P.</v>
      </c>
      <c r="BG68" s="175" t="str">
        <f t="shared" si="174"/>
        <v>N.P.</v>
      </c>
      <c r="BH68" s="175" t="str">
        <f t="shared" si="175"/>
        <v>N.P.</v>
      </c>
      <c r="BI68" s="175" t="str">
        <f t="shared" si="176"/>
        <v>N.P.</v>
      </c>
      <c r="BJ68" s="175" t="str">
        <f t="shared" si="177"/>
        <v>N.P.</v>
      </c>
      <c r="BK68" s="20">
        <v>2</v>
      </c>
    </row>
    <row r="69" spans="1:63" ht="12.75">
      <c r="A69" s="46"/>
      <c r="B69" s="46"/>
      <c r="C69" s="699">
        <f>J69-J70</f>
        <v>0.0009216528851538897</v>
      </c>
      <c r="D69" s="378">
        <v>7.44E-09</v>
      </c>
      <c r="E69" s="138">
        <f>(((3.1415926535*(5/3)^(1/2)*O$4*D69*C$8)/C$5)^2*A$22)/(B18+A27)^3</f>
        <v>1933.3555244253712</v>
      </c>
      <c r="F69" s="379">
        <f>(((C5*C8*O4)/(8^(1/2)*3.1415926535*C10^2*C7*O3))^2)*(A22^3/(B18+A27))</f>
        <v>0.35647749118451333</v>
      </c>
      <c r="G69" s="645">
        <f>(2*3.142*$O$4^2*$C$8*$D69*K69)/(3*$C$5*$O$6*(L69+$A$27)^2)</f>
        <v>32.13275729499652</v>
      </c>
      <c r="H69" s="650">
        <f>(2*3.142*$C$8*$O$4*D69)/(3*$C$5*$A$27)</f>
        <v>128.46106706608762</v>
      </c>
      <c r="I69" s="284">
        <f>-$C$5*$H$6*$C$7^2/A22^2*(1+($B$30^2*$C$7^2/A22^2)*(A22/(B18)-(O4/O6)*(1-(B30^2*C7^2/2*K69^2)*(2*K69^2/L69^2-1)-A48*O4/O3)*A22*A27*G69/((B18+A27)*B18)+2*O4^2/(O3*O6)*A48*B48*(A22*A27*A44*H69/(B18*(B18+A27)^2))-0.75-E69-F69))</f>
        <v>-3.3986978960655783E-13</v>
      </c>
      <c r="J69" s="472">
        <f t="shared" si="43"/>
        <v>107964.94808525752</v>
      </c>
      <c r="K69" s="82">
        <v>8</v>
      </c>
      <c r="L69" s="83">
        <v>3.5</v>
      </c>
      <c r="M69" s="83" t="s">
        <v>12</v>
      </c>
      <c r="N69" s="683" t="str">
        <f t="shared" si="80"/>
        <v>N.P.</v>
      </c>
      <c r="O69" s="144" t="str">
        <f t="shared" si="130"/>
        <v>N.P.</v>
      </c>
      <c r="P69" s="145" t="str">
        <f t="shared" si="131"/>
        <v>N.P.</v>
      </c>
      <c r="Q69" s="146" t="str">
        <f t="shared" si="132"/>
        <v>N.P.</v>
      </c>
      <c r="R69" s="159" t="str">
        <f t="shared" si="133"/>
        <v>N.P.</v>
      </c>
      <c r="S69" s="85" t="str">
        <f t="shared" si="134"/>
        <v>N.P.</v>
      </c>
      <c r="T69" s="85" t="str">
        <f t="shared" si="135"/>
        <v>N.P.</v>
      </c>
      <c r="U69" s="153">
        <f t="shared" si="136"/>
        <v>9546.020475157917</v>
      </c>
      <c r="V69" s="160" t="str">
        <f t="shared" si="137"/>
        <v>N.P.</v>
      </c>
      <c r="W69" s="174" t="str">
        <f t="shared" si="138"/>
        <v>N.P.</v>
      </c>
      <c r="X69" s="175" t="str">
        <f t="shared" si="139"/>
        <v>N.P.</v>
      </c>
      <c r="Y69" s="175" t="str">
        <f t="shared" si="140"/>
        <v>N.P.</v>
      </c>
      <c r="Z69" s="184">
        <f t="shared" si="141"/>
        <v>19445.61748239048</v>
      </c>
      <c r="AA69" s="175" t="str">
        <f t="shared" si="142"/>
        <v>N.P.</v>
      </c>
      <c r="AB69" s="175" t="str">
        <f t="shared" si="143"/>
        <v>N.P.</v>
      </c>
      <c r="AC69" s="176" t="str">
        <f t="shared" si="144"/>
        <v>N.P.</v>
      </c>
      <c r="AD69" s="174" t="str">
        <f t="shared" si="145"/>
        <v>N.P.</v>
      </c>
      <c r="AE69" s="175" t="str">
        <f t="shared" si="146"/>
        <v>N.P.</v>
      </c>
      <c r="AF69" s="175" t="str">
        <f t="shared" si="147"/>
        <v>N.P.</v>
      </c>
      <c r="AG69" s="184">
        <f t="shared" si="148"/>
        <v>37395.44867825413</v>
      </c>
      <c r="AH69" s="175" t="str">
        <f t="shared" si="149"/>
        <v>N.P.</v>
      </c>
      <c r="AI69" s="175" t="str">
        <f t="shared" si="150"/>
        <v>N.P.</v>
      </c>
      <c r="AJ69" s="175" t="str">
        <f t="shared" si="151"/>
        <v>N.P.</v>
      </c>
      <c r="AK69" s="184">
        <f t="shared" si="152"/>
        <v>37395.53797924176</v>
      </c>
      <c r="AL69" s="185">
        <f t="shared" si="153"/>
        <v>37395.50337405912</v>
      </c>
      <c r="AM69" s="174" t="str">
        <f t="shared" si="154"/>
        <v>N.P.</v>
      </c>
      <c r="AN69" s="175" t="str">
        <f t="shared" si="155"/>
        <v>N.P.</v>
      </c>
      <c r="AO69" s="175" t="str">
        <f t="shared" si="156"/>
        <v>N.P.</v>
      </c>
      <c r="AP69" s="184">
        <f t="shared" si="157"/>
        <v>75004.69021316528</v>
      </c>
      <c r="AQ69" s="175" t="str">
        <f t="shared" si="158"/>
        <v>N.P.</v>
      </c>
      <c r="AR69" s="175" t="str">
        <f t="shared" si="159"/>
        <v>N.P.</v>
      </c>
      <c r="AS69" s="175" t="str">
        <f t="shared" si="160"/>
        <v>N.P.</v>
      </c>
      <c r="AT69" s="184">
        <f t="shared" si="161"/>
        <v>75004.89817111318</v>
      </c>
      <c r="AU69" s="184">
        <f t="shared" si="162"/>
        <v>75004.83765555503</v>
      </c>
      <c r="AV69" s="175" t="str">
        <f t="shared" si="163"/>
        <v>N.P.</v>
      </c>
      <c r="AW69" s="176" t="str">
        <f t="shared" si="164"/>
        <v>N.P.</v>
      </c>
      <c r="AX69" s="192" t="str">
        <f t="shared" si="165"/>
        <v>N.P.</v>
      </c>
      <c r="AY69" s="175" t="str">
        <f t="shared" si="166"/>
        <v>N.P.</v>
      </c>
      <c r="AZ69" s="175" t="str">
        <f t="shared" si="167"/>
        <v>N.P.</v>
      </c>
      <c r="BA69" s="184">
        <f t="shared" si="168"/>
        <v>190565.74430719033</v>
      </c>
      <c r="BB69" s="175" t="str">
        <f t="shared" si="169"/>
        <v>N.P.</v>
      </c>
      <c r="BC69" s="175" t="str">
        <f t="shared" si="170"/>
        <v>N.P.</v>
      </c>
      <c r="BD69" s="175" t="str">
        <f t="shared" si="171"/>
        <v>N.P.</v>
      </c>
      <c r="BE69" s="184">
        <f t="shared" si="172"/>
        <v>190567.56206704816</v>
      </c>
      <c r="BF69" s="184">
        <f t="shared" si="173"/>
        <v>190567.29750707003</v>
      </c>
      <c r="BG69" s="175" t="str">
        <f t="shared" si="174"/>
        <v>N.P.</v>
      </c>
      <c r="BH69" s="175" t="str">
        <f t="shared" si="175"/>
        <v>N.P.</v>
      </c>
      <c r="BI69" s="175" t="str">
        <f t="shared" si="176"/>
        <v>N.P.</v>
      </c>
      <c r="BJ69" s="175" t="str">
        <f t="shared" si="177"/>
        <v>N.P.</v>
      </c>
      <c r="BK69" s="20">
        <v>4</v>
      </c>
    </row>
    <row r="70" spans="1:63" ht="12.75">
      <c r="A70" s="46"/>
      <c r="B70" s="46"/>
      <c r="C70" s="699"/>
      <c r="D70" s="378">
        <v>4.86E-09</v>
      </c>
      <c r="E70" s="138">
        <f>(((3.1415926535*(5/3)^(1/2)*O$4*D70*C$8)/C$5)^2*A$22)/(B18+A28)^3</f>
        <v>1955.4855044135913</v>
      </c>
      <c r="F70" s="379">
        <f>(((C5*C8*O4)/(8^(1/2)*3.1415926535*C10^2*C7*O3))^2)*(A22^3/(B18+A28))</f>
        <v>0.47530332157935107</v>
      </c>
      <c r="G70" s="645">
        <f>(2*3.142*$O$4^2*$C$8*$D70*K70)/(3*$C$5*$O$6*(L70+$A$28)^2)</f>
        <v>37.31546008451209</v>
      </c>
      <c r="H70" s="650">
        <f>(2*3.142*$C$8*$O$4*D70)/(3*$C$5*$A$28)</f>
        <v>-83.91408413187982</v>
      </c>
      <c r="I70" s="284">
        <f>-$C$5*$H$6*$C$7^2/A22^2*(1+($B$30^2*$C$7^2/A22^2)*(A22/(B18)-(O4/O6)*(1-(B30^2*C7^2/2*K70^2)*(2*K70^2/L70^2-1)-A48*O4/O3)*A22*A28*G70/((B18+A28)*B18)+2*O4^2/(O3*O6)*A48*B48*(A22*A28*A45*H70/(B18*(B18+A28)^2))-0.75-E70-F70))</f>
        <v>-3.3986997268805844E-13</v>
      </c>
      <c r="J70" s="472">
        <f t="shared" si="43"/>
        <v>107964.94716360464</v>
      </c>
      <c r="K70" s="82">
        <v>8</v>
      </c>
      <c r="L70" s="83">
        <v>3.5</v>
      </c>
      <c r="M70" s="83" t="s">
        <v>13</v>
      </c>
      <c r="N70" s="683" t="str">
        <f t="shared" si="80"/>
        <v>N.P.</v>
      </c>
      <c r="O70" s="144" t="str">
        <f t="shared" si="130"/>
        <v>N.P.</v>
      </c>
      <c r="P70" s="145" t="str">
        <f t="shared" si="131"/>
        <v>N.P.</v>
      </c>
      <c r="Q70" s="146" t="str">
        <f t="shared" si="132"/>
        <v>N.P.</v>
      </c>
      <c r="R70" s="159" t="str">
        <f t="shared" si="133"/>
        <v>N.P.</v>
      </c>
      <c r="S70" s="85" t="str">
        <f t="shared" si="134"/>
        <v>N.P.</v>
      </c>
      <c r="T70" s="85" t="str">
        <f t="shared" si="135"/>
        <v>N.P.</v>
      </c>
      <c r="U70" s="172">
        <f t="shared" si="136"/>
        <v>9546.02131525922</v>
      </c>
      <c r="V70" s="154">
        <f t="shared" si="137"/>
        <v>9545.988763398114</v>
      </c>
      <c r="W70" s="174" t="str">
        <f t="shared" si="138"/>
        <v>N.P.</v>
      </c>
      <c r="X70" s="175" t="str">
        <f t="shared" si="139"/>
        <v>N.P.</v>
      </c>
      <c r="Y70" s="175" t="str">
        <f t="shared" si="140"/>
        <v>N.P.</v>
      </c>
      <c r="Z70" s="184">
        <f t="shared" si="141"/>
        <v>19445.620968410607</v>
      </c>
      <c r="AA70" s="184">
        <f t="shared" si="142"/>
        <v>19445.56404855172</v>
      </c>
      <c r="AB70" s="175" t="str">
        <f t="shared" si="143"/>
        <v>N.P.</v>
      </c>
      <c r="AC70" s="176" t="str">
        <f t="shared" si="144"/>
        <v>N.P.</v>
      </c>
      <c r="AD70" s="174" t="str">
        <f t="shared" si="145"/>
        <v>N.P.</v>
      </c>
      <c r="AE70" s="175" t="str">
        <f t="shared" si="146"/>
        <v>N.P.</v>
      </c>
      <c r="AF70" s="175" t="str">
        <f t="shared" si="147"/>
        <v>N.P.</v>
      </c>
      <c r="AG70" s="184">
        <f t="shared" si="148"/>
        <v>37395.46157035967</v>
      </c>
      <c r="AH70" s="184">
        <f t="shared" si="149"/>
        <v>37395.34795460695</v>
      </c>
      <c r="AI70" s="175" t="str">
        <f t="shared" si="150"/>
        <v>N.P.</v>
      </c>
      <c r="AJ70" s="175" t="str">
        <f t="shared" si="151"/>
        <v>N.P.</v>
      </c>
      <c r="AK70" s="175" t="str">
        <f t="shared" si="152"/>
        <v>N.P.</v>
      </c>
      <c r="AL70" s="185">
        <f t="shared" si="153"/>
        <v>37395.51626620238</v>
      </c>
      <c r="AM70" s="174" t="str">
        <f t="shared" si="154"/>
        <v>N.P.</v>
      </c>
      <c r="AN70" s="175" t="str">
        <f t="shared" si="155"/>
        <v>N.P.</v>
      </c>
      <c r="AO70" s="175" t="str">
        <f t="shared" si="156"/>
        <v>N.P.</v>
      </c>
      <c r="AP70" s="184">
        <f t="shared" si="157"/>
        <v>75004.74207684364</v>
      </c>
      <c r="AQ70" s="184">
        <f t="shared" si="158"/>
        <v>75004.4793630465</v>
      </c>
      <c r="AR70" s="175" t="str">
        <f t="shared" si="159"/>
        <v>N.P.</v>
      </c>
      <c r="AS70" s="175" t="str">
        <f t="shared" si="160"/>
        <v>N.P.</v>
      </c>
      <c r="AT70" s="175" t="str">
        <f t="shared" si="161"/>
        <v>N.P.</v>
      </c>
      <c r="AU70" s="184">
        <f t="shared" si="162"/>
        <v>75004.88951943729</v>
      </c>
      <c r="AV70" s="175" t="str">
        <f t="shared" si="163"/>
        <v>N.P.</v>
      </c>
      <c r="AW70" s="176" t="str">
        <f t="shared" si="164"/>
        <v>N.P.</v>
      </c>
      <c r="AX70" s="192" t="str">
        <f t="shared" si="165"/>
        <v>N.P.</v>
      </c>
      <c r="AY70" s="175" t="str">
        <f t="shared" si="166"/>
        <v>N.P.</v>
      </c>
      <c r="AZ70" s="175" t="str">
        <f t="shared" si="167"/>
        <v>N.P.</v>
      </c>
      <c r="BA70" s="184">
        <f t="shared" si="168"/>
        <v>190566.07910036563</v>
      </c>
      <c r="BB70" s="184">
        <f t="shared" si="169"/>
        <v>190565.42121230654</v>
      </c>
      <c r="BC70" s="175" t="str">
        <f t="shared" si="170"/>
        <v>N.P.</v>
      </c>
      <c r="BD70" s="175" t="str">
        <f t="shared" si="171"/>
        <v>N.P.</v>
      </c>
      <c r="BE70" s="175" t="str">
        <f t="shared" si="172"/>
        <v>N.P.</v>
      </c>
      <c r="BF70" s="184">
        <f t="shared" si="173"/>
        <v>190567.6323057028</v>
      </c>
      <c r="BG70" s="175" t="str">
        <f t="shared" si="174"/>
        <v>N.P.</v>
      </c>
      <c r="BH70" s="175" t="str">
        <f t="shared" si="175"/>
        <v>N.P.</v>
      </c>
      <c r="BI70" s="175" t="str">
        <f t="shared" si="176"/>
        <v>N.P.</v>
      </c>
      <c r="BJ70" s="175" t="str">
        <f t="shared" si="177"/>
        <v>N.P.</v>
      </c>
      <c r="BK70" s="20">
        <v>3</v>
      </c>
    </row>
    <row r="71" spans="1:63" ht="12.75">
      <c r="A71" s="46"/>
      <c r="B71" s="46"/>
      <c r="C71" s="699">
        <f>J71-J72</f>
        <v>0.0006385440501617268</v>
      </c>
      <c r="D71" s="378">
        <v>1.041E-08</v>
      </c>
      <c r="E71" s="138">
        <f>(((3.1415926535*(5/3)^(1/2)*O$4*D71*C$8)/C$5)^2*A$22)/(B19+A27)^3</f>
        <v>1937.9263712011198</v>
      </c>
      <c r="F71" s="379">
        <f>(((C5*C8*O4)/(8^(1/2)*3.1415926535*C10^2*C7*O3))^2)*(A22^3/(B19+A27))</f>
        <v>0.28518199294761065</v>
      </c>
      <c r="G71" s="645">
        <f>(2*3.142*$O$4^2*$C$8*$D71*K71)/(3*$C$5*$O$6*(L71+$A$27)^2)</f>
        <v>28.774365887390434</v>
      </c>
      <c r="H71" s="650">
        <f>(2*3.142*$C$8*$O$4*D71)/(3*$C$5*$A$27)</f>
        <v>179.74189625779195</v>
      </c>
      <c r="I71" s="284">
        <f>-$C$5*$H$6*$C$7^2/A22^2*(1+($B$30^2*$C$7^2/A22^2)*(A22/(B19)-(O4/O6)*(1-(B30^2*C7^2/2*K71^2)*(2*K71^2/L71^2-1)-A48*O4/O3)*A22*A27*G71/((B19+A27)*B19)+2*O4^2/(O3*O6)*A48*B48*(A22*A27*A44*H71/(B19*(B19+A27)^2))-0.75-E71-F71))</f>
        <v>-3.398694888463134E-13</v>
      </c>
      <c r="J71" s="472">
        <f t="shared" si="43"/>
        <v>107964.94959931842</v>
      </c>
      <c r="K71" s="82">
        <v>8</v>
      </c>
      <c r="L71" s="83">
        <v>4.5</v>
      </c>
      <c r="M71" s="83" t="s">
        <v>14</v>
      </c>
      <c r="N71" s="683" t="str">
        <f t="shared" si="80"/>
        <v>N.P.</v>
      </c>
      <c r="O71" s="144" t="str">
        <f t="shared" si="130"/>
        <v>N.P.</v>
      </c>
      <c r="P71" s="145" t="str">
        <f t="shared" si="131"/>
        <v>N.P.</v>
      </c>
      <c r="Q71" s="146" t="str">
        <f t="shared" si="132"/>
        <v>N.P.</v>
      </c>
      <c r="R71" s="159" t="str">
        <f t="shared" si="133"/>
        <v>N.P.</v>
      </c>
      <c r="S71" s="85" t="str">
        <f t="shared" si="134"/>
        <v>N.P.</v>
      </c>
      <c r="T71" s="85" t="str">
        <f t="shared" si="135"/>
        <v>N.P.</v>
      </c>
      <c r="U71" s="85" t="str">
        <f t="shared" si="136"/>
        <v>N.P.</v>
      </c>
      <c r="V71" s="160" t="str">
        <f t="shared" si="137"/>
        <v>N.P.</v>
      </c>
      <c r="W71" s="174" t="str">
        <f t="shared" si="138"/>
        <v>N.P.</v>
      </c>
      <c r="X71" s="175" t="str">
        <f t="shared" si="139"/>
        <v>N.P.</v>
      </c>
      <c r="Y71" s="175" t="str">
        <f t="shared" si="140"/>
        <v>N.P.</v>
      </c>
      <c r="Z71" s="175" t="str">
        <f t="shared" si="141"/>
        <v>N.P.</v>
      </c>
      <c r="AA71" s="175" t="str">
        <f t="shared" si="142"/>
        <v>N.P.</v>
      </c>
      <c r="AB71" s="182">
        <f t="shared" si="143"/>
        <v>19445.642268494565</v>
      </c>
      <c r="AC71" s="176" t="str">
        <f t="shared" si="144"/>
        <v>N.P.</v>
      </c>
      <c r="AD71" s="174" t="str">
        <f t="shared" si="145"/>
        <v>N.P.</v>
      </c>
      <c r="AE71" s="175" t="str">
        <f t="shared" si="146"/>
        <v>N.P.</v>
      </c>
      <c r="AF71" s="175" t="str">
        <f t="shared" si="147"/>
        <v>N.P.</v>
      </c>
      <c r="AG71" s="175" t="str">
        <f t="shared" si="148"/>
        <v>N.P.</v>
      </c>
      <c r="AH71" s="175" t="str">
        <f t="shared" si="149"/>
        <v>N.P.</v>
      </c>
      <c r="AI71" s="184">
        <f t="shared" si="150"/>
        <v>37395.48932998291</v>
      </c>
      <c r="AJ71" s="175" t="str">
        <f t="shared" si="151"/>
        <v>N.P.</v>
      </c>
      <c r="AK71" s="175" t="str">
        <f t="shared" si="152"/>
        <v>N.P.</v>
      </c>
      <c r="AL71" s="176" t="str">
        <f t="shared" si="153"/>
        <v>N.P.</v>
      </c>
      <c r="AM71" s="174" t="str">
        <f t="shared" si="154"/>
        <v>N.P.</v>
      </c>
      <c r="AN71" s="175" t="str">
        <f t="shared" si="155"/>
        <v>N.P.</v>
      </c>
      <c r="AO71" s="175" t="str">
        <f t="shared" si="156"/>
        <v>N.P.</v>
      </c>
      <c r="AP71" s="175" t="str">
        <f t="shared" si="157"/>
        <v>N.P.</v>
      </c>
      <c r="AQ71" s="175" t="str">
        <f t="shared" si="158"/>
        <v>N.P.</v>
      </c>
      <c r="AR71" s="184">
        <f t="shared" si="159"/>
        <v>75004.73801292079</v>
      </c>
      <c r="AS71" s="175" t="str">
        <f t="shared" si="160"/>
        <v>N.P.</v>
      </c>
      <c r="AT71" s="175" t="str">
        <f t="shared" si="161"/>
        <v>N.P.</v>
      </c>
      <c r="AU71" s="175" t="str">
        <f t="shared" si="162"/>
        <v>N.P.</v>
      </c>
      <c r="AV71" s="184">
        <f t="shared" si="163"/>
        <v>75004.87832810952</v>
      </c>
      <c r="AW71" s="185">
        <f t="shared" si="164"/>
        <v>75004.7998452798</v>
      </c>
      <c r="AX71" s="192" t="str">
        <f t="shared" si="165"/>
        <v>N.P.</v>
      </c>
      <c r="AY71" s="175" t="str">
        <f t="shared" si="166"/>
        <v>N.P.</v>
      </c>
      <c r="AZ71" s="175" t="str">
        <f t="shared" si="167"/>
        <v>N.P.</v>
      </c>
      <c r="BA71" s="175" t="str">
        <f t="shared" si="168"/>
        <v>N.P.</v>
      </c>
      <c r="BB71" s="175" t="str">
        <f t="shared" si="169"/>
        <v>N.P.</v>
      </c>
      <c r="BC71" s="184">
        <f t="shared" si="170"/>
        <v>190565.92063852298</v>
      </c>
      <c r="BD71" s="175" t="str">
        <f t="shared" si="171"/>
        <v>N.P.</v>
      </c>
      <c r="BE71" s="175" t="str">
        <f t="shared" si="172"/>
        <v>N.P.</v>
      </c>
      <c r="BF71" s="175" t="str">
        <f t="shared" si="173"/>
        <v>N.P.</v>
      </c>
      <c r="BG71" s="184">
        <f t="shared" si="174"/>
        <v>190568.2878101622</v>
      </c>
      <c r="BH71" s="184">
        <f t="shared" si="175"/>
        <v>190568.25639698235</v>
      </c>
      <c r="BI71" s="175" t="str">
        <f t="shared" si="176"/>
        <v>N.P.</v>
      </c>
      <c r="BJ71" s="175" t="str">
        <f t="shared" si="177"/>
        <v>N.P.</v>
      </c>
      <c r="BK71" s="20">
        <v>5</v>
      </c>
    </row>
    <row r="72" spans="1:63" ht="12.75">
      <c r="A72" s="46"/>
      <c r="B72" s="46"/>
      <c r="C72" s="699"/>
      <c r="D72" s="378">
        <v>7.471E-09</v>
      </c>
      <c r="E72" s="138">
        <f>(((3.1415926535*(5/3)^(1/2)*O$4*D72*C$8)/C$5)^2*A$22)/(B19+A28)^3</f>
        <v>1949.5003856623255</v>
      </c>
      <c r="F72" s="379">
        <f>(((C5*C8*O4)/(8^(1/2)*3.1415926535*C10^2*C7*O3))^2)*(A22^3/(B19+A28))</f>
        <v>0.35647749118451333</v>
      </c>
      <c r="G72" s="645">
        <f>(2*3.142*$O$4^2*$C$8*$D72*K72)/(3*$C$5*$O$6*(L72+$A$28)^2)</f>
        <v>32.26664378372567</v>
      </c>
      <c r="H72" s="650">
        <f>(2*3.142*$C$8*$O$4*D72)/(3*$C$5*$A$28)</f>
        <v>-128.99632151219632</v>
      </c>
      <c r="I72" s="284">
        <f>-$C$5*$H$6*$C$7^2/A22^2*(1+($B$30^2*$C$7^2/A22^2)*(A22/(B19)-(O4/O6)*(1-(B30^2*C7^2/2*K72^2)*(2*K72^2/L72^2-1)-A48*O4/O3)*A22*A28*G72/((B19+A28)*B19)+2*O4^2/(O3*O6)*A48*B48*(A22*A28*A45*H72/(B19*(B19+A28)^2))-0.75-E72-F72))</f>
        <v>-3.398696156897348E-13</v>
      </c>
      <c r="J72" s="472">
        <f t="shared" si="43"/>
        <v>107964.94896077437</v>
      </c>
      <c r="K72" s="82">
        <v>8</v>
      </c>
      <c r="L72" s="83">
        <v>4.5</v>
      </c>
      <c r="M72" s="83" t="s">
        <v>15</v>
      </c>
      <c r="N72" s="683" t="str">
        <f t="shared" si="80"/>
        <v>N.P.</v>
      </c>
      <c r="O72" s="144" t="str">
        <f t="shared" si="130"/>
        <v>N.P.</v>
      </c>
      <c r="P72" s="145" t="str">
        <f t="shared" si="131"/>
        <v>N.P.</v>
      </c>
      <c r="Q72" s="146" t="str">
        <f t="shared" si="132"/>
        <v>N.P.</v>
      </c>
      <c r="R72" s="159" t="str">
        <f t="shared" si="133"/>
        <v>N.P.</v>
      </c>
      <c r="S72" s="85" t="str">
        <f t="shared" si="134"/>
        <v>N.P.</v>
      </c>
      <c r="T72" s="85" t="str">
        <f t="shared" si="135"/>
        <v>N.P.</v>
      </c>
      <c r="U72" s="85" t="str">
        <f t="shared" si="136"/>
        <v>N.P.</v>
      </c>
      <c r="V72" s="160" t="str">
        <f t="shared" si="137"/>
        <v>N.P.</v>
      </c>
      <c r="W72" s="174" t="str">
        <f t="shared" si="138"/>
        <v>N.P.</v>
      </c>
      <c r="X72" s="175" t="str">
        <f t="shared" si="139"/>
        <v>N.P.</v>
      </c>
      <c r="Y72" s="175" t="str">
        <f t="shared" si="140"/>
        <v>N.P.</v>
      </c>
      <c r="Z72" s="175" t="str">
        <f t="shared" si="141"/>
        <v>N.P.</v>
      </c>
      <c r="AA72" s="175" t="str">
        <f t="shared" si="142"/>
        <v>N.P.</v>
      </c>
      <c r="AB72" s="184">
        <f t="shared" si="143"/>
        <v>19445.644683702118</v>
      </c>
      <c r="AC72" s="189">
        <f t="shared" si="144"/>
        <v>19445.613631168588</v>
      </c>
      <c r="AD72" s="174" t="str">
        <f t="shared" si="145"/>
        <v>N.P.</v>
      </c>
      <c r="AE72" s="175" t="str">
        <f t="shared" si="146"/>
        <v>N.P.</v>
      </c>
      <c r="AF72" s="175" t="str">
        <f t="shared" si="147"/>
        <v>N.P.</v>
      </c>
      <c r="AG72" s="175" t="str">
        <f t="shared" si="148"/>
        <v>N.P.</v>
      </c>
      <c r="AH72" s="175" t="str">
        <f t="shared" si="149"/>
        <v>N.P.</v>
      </c>
      <c r="AI72" s="184">
        <f t="shared" si="150"/>
        <v>37395.49826197306</v>
      </c>
      <c r="AJ72" s="184">
        <f t="shared" si="151"/>
        <v>37395.44014361691</v>
      </c>
      <c r="AK72" s="175" t="str">
        <f t="shared" si="152"/>
        <v>N.P.</v>
      </c>
      <c r="AL72" s="176" t="str">
        <f t="shared" si="153"/>
        <v>N.P.</v>
      </c>
      <c r="AM72" s="174" t="str">
        <f t="shared" si="154"/>
        <v>N.P.</v>
      </c>
      <c r="AN72" s="175" t="str">
        <f t="shared" si="155"/>
        <v>N.P.</v>
      </c>
      <c r="AO72" s="175" t="str">
        <f t="shared" si="156"/>
        <v>N.P.</v>
      </c>
      <c r="AP72" s="175" t="str">
        <f t="shared" si="157"/>
        <v>N.P.</v>
      </c>
      <c r="AQ72" s="175" t="str">
        <f t="shared" si="158"/>
        <v>N.P.</v>
      </c>
      <c r="AR72" s="184">
        <f t="shared" si="159"/>
        <v>75004.77394540644</v>
      </c>
      <c r="AS72" s="184">
        <f t="shared" si="160"/>
        <v>75004.63351525611</v>
      </c>
      <c r="AT72" s="175" t="str">
        <f t="shared" si="161"/>
        <v>N.P.</v>
      </c>
      <c r="AU72" s="175" t="str">
        <f t="shared" si="162"/>
        <v>N.P.</v>
      </c>
      <c r="AV72" s="175" t="str">
        <f t="shared" si="163"/>
        <v>N.P.</v>
      </c>
      <c r="AW72" s="185">
        <f t="shared" si="164"/>
        <v>75004.83577782473</v>
      </c>
      <c r="AX72" s="192" t="str">
        <f t="shared" si="165"/>
        <v>N.P.</v>
      </c>
      <c r="AY72" s="175" t="str">
        <f t="shared" si="166"/>
        <v>N.P.</v>
      </c>
      <c r="AZ72" s="175" t="str">
        <f t="shared" si="167"/>
        <v>N.P.</v>
      </c>
      <c r="BA72" s="175" t="str">
        <f t="shared" si="168"/>
        <v>N.P.</v>
      </c>
      <c r="BB72" s="175" t="str">
        <f t="shared" si="169"/>
        <v>N.P.</v>
      </c>
      <c r="BC72" s="184">
        <f t="shared" si="170"/>
        <v>190566.15259187348</v>
      </c>
      <c r="BD72" s="184">
        <f t="shared" si="171"/>
        <v>190565.82119594782</v>
      </c>
      <c r="BE72" s="175" t="str">
        <f t="shared" si="172"/>
        <v>N.P.</v>
      </c>
      <c r="BF72" s="175" t="str">
        <f t="shared" si="173"/>
        <v>N.P.</v>
      </c>
      <c r="BG72" s="175" t="str">
        <f t="shared" si="174"/>
        <v>N.P.</v>
      </c>
      <c r="BH72" s="184">
        <f t="shared" si="175"/>
        <v>190568.48835601902</v>
      </c>
      <c r="BI72" s="175" t="str">
        <f t="shared" si="176"/>
        <v>N.P.</v>
      </c>
      <c r="BJ72" s="175" t="str">
        <f t="shared" si="177"/>
        <v>N.P.</v>
      </c>
      <c r="BK72" s="20">
        <v>4</v>
      </c>
    </row>
    <row r="73" spans="1:63" ht="12.75">
      <c r="A73" s="46"/>
      <c r="B73" s="46"/>
      <c r="C73" s="699">
        <f>J73-J74</f>
        <v>0.0009469057549722493</v>
      </c>
      <c r="D73" s="378">
        <v>1.3694E-08</v>
      </c>
      <c r="E73" s="138">
        <f>(((3.1415926535*(5/3)^(1/2)*O$4*D73*C$8)/C$5)^2*A$22)/(B20+A27)^3</f>
        <v>1940.67460342226</v>
      </c>
      <c r="F73" s="379">
        <f>(((C5*C8*O4)/(8^(1/2)*3.1415926535*C10^2*C7*O3))^2)*(A22^3/(B20+A27))</f>
        <v>0.23765166078967553</v>
      </c>
      <c r="G73" s="645">
        <f>(2*3.142*$O$4^2*$C$8*$D73*K73)/(3*$C$5*$O$6*(L73+$A$27)^2)</f>
        <v>26.285900740602294</v>
      </c>
      <c r="H73" s="650">
        <f>(2*3.142*$C$8*$O$4*D73)/(3*$C$5*$A$27)</f>
        <v>236.44433500040378</v>
      </c>
      <c r="I73" s="284">
        <f>-$C$5*$H$6*$C$7^2/A22^2*(1+($B$30^2*$C$7^2/A22^2)*(A22/(B20)-(O4/O6)*(1-(B30^2*C7^2/2*K73^2)*(2*K73^2/L73^2-1)-A48*O4/O3)*A22*A27*G73/((B20+A27)*B20)+2*O4^2/(O3*O6)*A48*B48*(A22*A27*A44*H73/(B20*(B20+A27)^2))-0.75-E73-F73))</f>
        <v>-3.3986916774586213E-13</v>
      </c>
      <c r="J73" s="472">
        <f t="shared" si="43"/>
        <v>107964.95121577423</v>
      </c>
      <c r="K73" s="82">
        <v>8</v>
      </c>
      <c r="L73" s="83">
        <v>5.5</v>
      </c>
      <c r="M73" s="83" t="s">
        <v>16</v>
      </c>
      <c r="N73" s="683" t="str">
        <f t="shared" si="80"/>
        <v>N.P.</v>
      </c>
      <c r="O73" s="144" t="str">
        <f t="shared" si="130"/>
        <v>N.P.</v>
      </c>
      <c r="P73" s="145" t="str">
        <f t="shared" si="131"/>
        <v>N.P.</v>
      </c>
      <c r="Q73" s="146" t="str">
        <f t="shared" si="132"/>
        <v>N.P.</v>
      </c>
      <c r="R73" s="159" t="str">
        <f t="shared" si="133"/>
        <v>N.P.</v>
      </c>
      <c r="S73" s="85" t="str">
        <f t="shared" si="134"/>
        <v>N.P.</v>
      </c>
      <c r="T73" s="85" t="str">
        <f t="shared" si="135"/>
        <v>N.P.</v>
      </c>
      <c r="U73" s="85" t="str">
        <f t="shared" si="136"/>
        <v>N.P.</v>
      </c>
      <c r="V73" s="160" t="str">
        <f t="shared" si="137"/>
        <v>N.P.</v>
      </c>
      <c r="W73" s="174" t="str">
        <f t="shared" si="138"/>
        <v>N.P.</v>
      </c>
      <c r="X73" s="175" t="str">
        <f t="shared" si="139"/>
        <v>N.P.</v>
      </c>
      <c r="Y73" s="175" t="str">
        <f t="shared" si="140"/>
        <v>N.P.</v>
      </c>
      <c r="Z73" s="175" t="str">
        <f t="shared" si="141"/>
        <v>N.P.</v>
      </c>
      <c r="AA73" s="175" t="str">
        <f t="shared" si="142"/>
        <v>N.P.</v>
      </c>
      <c r="AB73" s="175" t="str">
        <f t="shared" si="143"/>
        <v>N.P.</v>
      </c>
      <c r="AC73" s="176" t="str">
        <f t="shared" si="144"/>
        <v>N.P.</v>
      </c>
      <c r="AD73" s="174" t="str">
        <f t="shared" si="145"/>
        <v>N.P.</v>
      </c>
      <c r="AE73" s="175" t="str">
        <f t="shared" si="146"/>
        <v>N.P.</v>
      </c>
      <c r="AF73" s="175" t="str">
        <f t="shared" si="147"/>
        <v>N.P.</v>
      </c>
      <c r="AG73" s="175" t="str">
        <f t="shared" si="148"/>
        <v>N.P.</v>
      </c>
      <c r="AH73" s="175" t="str">
        <f t="shared" si="149"/>
        <v>N.P.</v>
      </c>
      <c r="AI73" s="175" t="str">
        <f t="shared" si="150"/>
        <v>N.P.</v>
      </c>
      <c r="AJ73" s="175" t="str">
        <f t="shared" si="151"/>
        <v>N.P.</v>
      </c>
      <c r="AK73" s="182">
        <f t="shared" si="152"/>
        <v>37395.49418934583</v>
      </c>
      <c r="AL73" s="176" t="str">
        <f t="shared" si="153"/>
        <v>N.P.</v>
      </c>
      <c r="AM73" s="174" t="str">
        <f t="shared" si="154"/>
        <v>N.P.</v>
      </c>
      <c r="AN73" s="175" t="str">
        <f t="shared" si="155"/>
        <v>N.P.</v>
      </c>
      <c r="AO73" s="175" t="str">
        <f t="shared" si="156"/>
        <v>N.P.</v>
      </c>
      <c r="AP73" s="175" t="str">
        <f t="shared" si="157"/>
        <v>N.P.</v>
      </c>
      <c r="AQ73" s="175" t="str">
        <f t="shared" si="158"/>
        <v>N.P.</v>
      </c>
      <c r="AR73" s="175" t="str">
        <f t="shared" si="159"/>
        <v>N.P.</v>
      </c>
      <c r="AS73" s="175" t="str">
        <f t="shared" si="160"/>
        <v>N.P.</v>
      </c>
      <c r="AT73" s="184">
        <f t="shared" si="161"/>
        <v>75004.72200878225</v>
      </c>
      <c r="AU73" s="175" t="str">
        <f t="shared" si="162"/>
        <v>N.P.</v>
      </c>
      <c r="AV73" s="175" t="str">
        <f t="shared" si="163"/>
        <v>N.P.</v>
      </c>
      <c r="AW73" s="176" t="str">
        <f t="shared" si="164"/>
        <v>N.P.</v>
      </c>
      <c r="AX73" s="192" t="str">
        <f t="shared" si="165"/>
        <v>N.P.</v>
      </c>
      <c r="AY73" s="175" t="str">
        <f t="shared" si="166"/>
        <v>N.P.</v>
      </c>
      <c r="AZ73" s="175" t="str">
        <f t="shared" si="167"/>
        <v>N.P.</v>
      </c>
      <c r="BA73" s="175" t="str">
        <f t="shared" si="168"/>
        <v>N.P.</v>
      </c>
      <c r="BB73" s="175" t="str">
        <f t="shared" si="169"/>
        <v>N.P.</v>
      </c>
      <c r="BC73" s="175" t="str">
        <f t="shared" si="170"/>
        <v>N.P.</v>
      </c>
      <c r="BD73" s="175" t="str">
        <f t="shared" si="171"/>
        <v>N.P.</v>
      </c>
      <c r="BE73" s="184">
        <f t="shared" si="172"/>
        <v>190566.42488453706</v>
      </c>
      <c r="BF73" s="175" t="str">
        <f t="shared" si="173"/>
        <v>N.P.</v>
      </c>
      <c r="BG73" s="175" t="str">
        <f t="shared" si="174"/>
        <v>N.P.</v>
      </c>
      <c r="BH73" s="175" t="str">
        <f t="shared" si="175"/>
        <v>N.P.</v>
      </c>
      <c r="BI73" s="184">
        <f t="shared" si="176"/>
        <v>190568.6752266669</v>
      </c>
      <c r="BJ73" s="184">
        <f t="shared" si="177"/>
        <v>190568.24387392873</v>
      </c>
      <c r="BK73" s="20">
        <v>6</v>
      </c>
    </row>
    <row r="74" spans="1:63" ht="12.75">
      <c r="A74" s="46"/>
      <c r="B74" s="46"/>
      <c r="C74" s="699"/>
      <c r="D74" s="378">
        <v>1.0435E-08</v>
      </c>
      <c r="E74" s="138">
        <f>(((3.1415926535*(5/3)^(1/2)*O$4*D74*C$8)/C$5)^2*A$22)/(B20+A28)^3</f>
        <v>1947.2455516628254</v>
      </c>
      <c r="F74" s="379">
        <f>(((C5*C8*O4)/(8^(1/2)*3.1415926535*C10^2*C7*O3))^2)*(A22^3/(B20+A28))</f>
        <v>0.28518199294761065</v>
      </c>
      <c r="G74" s="645">
        <f>(2*3.142*$O$4^2*$C$8*$D74*K74)/(3*$C$5*$O$6*(L74+$A$28)^2)</f>
        <v>28.84346859125064</v>
      </c>
      <c r="H74" s="650">
        <f>(2*3.142*$C$8*$O$4*D74)/(3*$C$5*$A$28)</f>
        <v>-180.17355306916997</v>
      </c>
      <c r="I74" s="284">
        <f>-$C$5*$H$6*$C$7^2/A22^2*(1+($B$30^2*$C$7^2/A22^2)*(A22/(B20)-(O4/O6)*(1-(B30^2*C7^2/2*K74^2)*(2*K74^2/L74^2-1)-A48*O4/O3)*A22*A28*G74/((B20+A28)*B20)+2*O4^2/(O3*O6)*A48*B48*(A22*A28*A45*H74/(B20*(B20+A28)^2))-0.75-E74-F74))</f>
        <v>-3.398693558437163E-13</v>
      </c>
      <c r="J74" s="472">
        <f t="shared" si="43"/>
        <v>107964.95026886847</v>
      </c>
      <c r="K74" s="82">
        <v>8</v>
      </c>
      <c r="L74" s="83">
        <v>5.5</v>
      </c>
      <c r="M74" s="83" t="s">
        <v>17</v>
      </c>
      <c r="N74" s="683" t="str">
        <f t="shared" si="80"/>
        <v>N.P.</v>
      </c>
      <c r="O74" s="144" t="str">
        <f t="shared" si="130"/>
        <v>N.P.</v>
      </c>
      <c r="P74" s="145" t="str">
        <f t="shared" si="131"/>
        <v>N.P.</v>
      </c>
      <c r="Q74" s="146" t="str">
        <f t="shared" si="132"/>
        <v>N.P.</v>
      </c>
      <c r="R74" s="159" t="str">
        <f t="shared" si="133"/>
        <v>N.P.</v>
      </c>
      <c r="S74" s="85" t="str">
        <f t="shared" si="134"/>
        <v>N.P.</v>
      </c>
      <c r="T74" s="85" t="str">
        <f t="shared" si="135"/>
        <v>N.P.</v>
      </c>
      <c r="U74" s="85" t="str">
        <f t="shared" si="136"/>
        <v>N.P.</v>
      </c>
      <c r="V74" s="160" t="str">
        <f t="shared" si="137"/>
        <v>N.P.</v>
      </c>
      <c r="W74" s="174" t="str">
        <f t="shared" si="138"/>
        <v>N.P.</v>
      </c>
      <c r="X74" s="175" t="str">
        <f t="shared" si="139"/>
        <v>N.P.</v>
      </c>
      <c r="Y74" s="175" t="str">
        <f t="shared" si="140"/>
        <v>N.P.</v>
      </c>
      <c r="Z74" s="175" t="str">
        <f t="shared" si="141"/>
        <v>N.P.</v>
      </c>
      <c r="AA74" s="175" t="str">
        <f t="shared" si="142"/>
        <v>N.P.</v>
      </c>
      <c r="AB74" s="175" t="str">
        <f t="shared" si="143"/>
        <v>N.P.</v>
      </c>
      <c r="AC74" s="176" t="str">
        <f t="shared" si="144"/>
        <v>N.P.</v>
      </c>
      <c r="AD74" s="174" t="str">
        <f t="shared" si="145"/>
        <v>N.P.</v>
      </c>
      <c r="AE74" s="175" t="str">
        <f t="shared" si="146"/>
        <v>N.P.</v>
      </c>
      <c r="AF74" s="175" t="str">
        <f t="shared" si="147"/>
        <v>N.P.</v>
      </c>
      <c r="AG74" s="175" t="str">
        <f t="shared" si="148"/>
        <v>N.P.</v>
      </c>
      <c r="AH74" s="175" t="str">
        <f t="shared" si="149"/>
        <v>N.P.</v>
      </c>
      <c r="AI74" s="175" t="str">
        <f t="shared" si="150"/>
        <v>N.P.</v>
      </c>
      <c r="AJ74" s="175" t="str">
        <f t="shared" si="151"/>
        <v>N.P.</v>
      </c>
      <c r="AK74" s="184">
        <f t="shared" si="152"/>
        <v>37395.507434721825</v>
      </c>
      <c r="AL74" s="189">
        <f t="shared" si="153"/>
        <v>37395.47282959571</v>
      </c>
      <c r="AM74" s="174" t="str">
        <f t="shared" si="154"/>
        <v>N.P.</v>
      </c>
      <c r="AN74" s="175" t="str">
        <f t="shared" si="155"/>
        <v>N.P.</v>
      </c>
      <c r="AO74" s="175" t="str">
        <f t="shared" si="156"/>
        <v>N.P.</v>
      </c>
      <c r="AP74" s="175" t="str">
        <f t="shared" si="157"/>
        <v>N.P.</v>
      </c>
      <c r="AQ74" s="175" t="str">
        <f t="shared" si="158"/>
        <v>N.P.</v>
      </c>
      <c r="AR74" s="175" t="str">
        <f t="shared" si="159"/>
        <v>N.P.</v>
      </c>
      <c r="AS74" s="175" t="str">
        <f t="shared" si="160"/>
        <v>N.P.</v>
      </c>
      <c r="AT74" s="184">
        <f t="shared" si="161"/>
        <v>75004.77529354904</v>
      </c>
      <c r="AU74" s="184">
        <f t="shared" si="162"/>
        <v>75004.71477818918</v>
      </c>
      <c r="AV74" s="175" t="str">
        <f t="shared" si="163"/>
        <v>N.P.</v>
      </c>
      <c r="AW74" s="176" t="str">
        <f t="shared" si="164"/>
        <v>N.P.</v>
      </c>
      <c r="AX74" s="192" t="str">
        <f t="shared" si="165"/>
        <v>N.P.</v>
      </c>
      <c r="AY74" s="175" t="str">
        <f t="shared" si="166"/>
        <v>N.P.</v>
      </c>
      <c r="AZ74" s="175" t="str">
        <f t="shared" si="167"/>
        <v>N.P.</v>
      </c>
      <c r="BA74" s="175" t="str">
        <f t="shared" si="168"/>
        <v>N.P.</v>
      </c>
      <c r="BB74" s="175" t="str">
        <f t="shared" si="169"/>
        <v>N.P.</v>
      </c>
      <c r="BC74" s="175" t="str">
        <f t="shared" si="170"/>
        <v>N.P.</v>
      </c>
      <c r="BD74" s="175" t="str">
        <f t="shared" si="171"/>
        <v>N.P.</v>
      </c>
      <c r="BE74" s="184">
        <f t="shared" si="172"/>
        <v>190566.76885337336</v>
      </c>
      <c r="BF74" s="184">
        <f t="shared" si="173"/>
        <v>190566.50429559758</v>
      </c>
      <c r="BG74" s="175" t="str">
        <f t="shared" si="174"/>
        <v>N.P.</v>
      </c>
      <c r="BH74" s="175" t="str">
        <f t="shared" si="175"/>
        <v>N.P.</v>
      </c>
      <c r="BI74" s="175" t="str">
        <f t="shared" si="176"/>
        <v>N.P.</v>
      </c>
      <c r="BJ74" s="184">
        <f t="shared" si="177"/>
        <v>190568.58784933152</v>
      </c>
      <c r="BK74" s="20">
        <v>5</v>
      </c>
    </row>
    <row r="75" spans="1:63" ht="12.75">
      <c r="A75" s="46"/>
      <c r="B75" s="46"/>
      <c r="C75" s="699">
        <f>J75-J76</f>
        <v>0.0008962001593317837</v>
      </c>
      <c r="D75" s="378">
        <v>1.7269E-08</v>
      </c>
      <c r="E75" s="138">
        <f>(((3.1415926535*(5/3)^(1/2)*O$4*D75*C$8)/C$5)^2*A$22)/(B21+A27)^3</f>
        <v>1943.506894322132</v>
      </c>
      <c r="F75" s="379">
        <f>(((C5*C8*O4)/(8^(1/2)*3.1415926535*C10^2*C7*O3))^2)*(A22^3/(B21+A27))</f>
        <v>0.2037014235340076</v>
      </c>
      <c r="G75" s="645">
        <f>(2*3.142*$O$4^2*$C$8*$D75*K75)/(3*$C$5*$O$6*(L75+$A$27)^2)</f>
        <v>24.35376720330458</v>
      </c>
      <c r="H75" s="650">
        <f>(2*3.142*$C$8*$O$4*D75)/(3*$C$5*$A$27)</f>
        <v>298.1712590274553</v>
      </c>
      <c r="I75" s="284">
        <f>-$C$5*$H$6*$C$7^2/A22^2*(1+($B$30^2*$C$7^2/A22^2)*(A22/(B21)-(O4/O6)*(1-(B30^2*C7^2/2*K75^2)*(2*K75^2/L75^2-1)-A48*O4/O3)*A22*A27*G75/((B21+A27)*B21)+2*O4^2/(O3*O6)*A48*B48*(A22*A27*A44*H75/(B21*(B21+A27)^2))-0.75-E75-F75))</f>
        <v>-3.398686031290465E-13</v>
      </c>
      <c r="J75" s="472">
        <f t="shared" si="43"/>
        <v>107964.95405811885</v>
      </c>
      <c r="K75" s="82">
        <v>8</v>
      </c>
      <c r="L75" s="83">
        <v>6.5</v>
      </c>
      <c r="M75" s="83" t="s">
        <v>18</v>
      </c>
      <c r="N75" s="683" t="str">
        <f t="shared" si="80"/>
        <v>N.P.</v>
      </c>
      <c r="O75" s="144" t="str">
        <f t="shared" si="130"/>
        <v>N.P.</v>
      </c>
      <c r="P75" s="145" t="str">
        <f t="shared" si="131"/>
        <v>N.P.</v>
      </c>
      <c r="Q75" s="146" t="str">
        <f t="shared" si="132"/>
        <v>N.P.</v>
      </c>
      <c r="R75" s="159" t="str">
        <f t="shared" si="133"/>
        <v>N.P.</v>
      </c>
      <c r="S75" s="85" t="str">
        <f t="shared" si="134"/>
        <v>N.P.</v>
      </c>
      <c r="T75" s="85" t="str">
        <f t="shared" si="135"/>
        <v>N.P.</v>
      </c>
      <c r="U75" s="85" t="str">
        <f t="shared" si="136"/>
        <v>N.P.</v>
      </c>
      <c r="V75" s="160" t="str">
        <f t="shared" si="137"/>
        <v>N.P.</v>
      </c>
      <c r="W75" s="174" t="str">
        <f t="shared" si="138"/>
        <v>N.P.</v>
      </c>
      <c r="X75" s="175" t="str">
        <f t="shared" si="139"/>
        <v>N.P.</v>
      </c>
      <c r="Y75" s="175" t="str">
        <f t="shared" si="140"/>
        <v>N.P.</v>
      </c>
      <c r="Z75" s="175" t="str">
        <f t="shared" si="141"/>
        <v>N.P.</v>
      </c>
      <c r="AA75" s="175" t="str">
        <f t="shared" si="142"/>
        <v>N.P.</v>
      </c>
      <c r="AB75" s="175" t="str">
        <f t="shared" si="143"/>
        <v>N.P.</v>
      </c>
      <c r="AC75" s="176" t="str">
        <f t="shared" si="144"/>
        <v>N.P.</v>
      </c>
      <c r="AD75" s="174" t="str">
        <f t="shared" si="145"/>
        <v>N.P.</v>
      </c>
      <c r="AE75" s="175" t="str">
        <f t="shared" si="146"/>
        <v>N.P.</v>
      </c>
      <c r="AF75" s="175" t="str">
        <f t="shared" si="147"/>
        <v>N.P.</v>
      </c>
      <c r="AG75" s="175" t="str">
        <f t="shared" si="148"/>
        <v>N.P.</v>
      </c>
      <c r="AH75" s="175" t="str">
        <f t="shared" si="149"/>
        <v>N.P.</v>
      </c>
      <c r="AI75" s="175" t="str">
        <f t="shared" si="150"/>
        <v>N.P.</v>
      </c>
      <c r="AJ75" s="175" t="str">
        <f t="shared" si="151"/>
        <v>N.P.</v>
      </c>
      <c r="AK75" s="175" t="str">
        <f t="shared" si="152"/>
        <v>N.P.</v>
      </c>
      <c r="AL75" s="176" t="str">
        <f t="shared" si="153"/>
        <v>N.P.</v>
      </c>
      <c r="AM75" s="174" t="str">
        <f t="shared" si="154"/>
        <v>N.P.</v>
      </c>
      <c r="AN75" s="175" t="str">
        <f t="shared" si="155"/>
        <v>N.P.</v>
      </c>
      <c r="AO75" s="175" t="str">
        <f t="shared" si="156"/>
        <v>N.P.</v>
      </c>
      <c r="AP75" s="175" t="str">
        <f t="shared" si="157"/>
        <v>N.P.</v>
      </c>
      <c r="AQ75" s="175" t="str">
        <f t="shared" si="158"/>
        <v>N.P.</v>
      </c>
      <c r="AR75" s="175" t="str">
        <f t="shared" si="159"/>
        <v>N.P.</v>
      </c>
      <c r="AS75" s="175" t="str">
        <f t="shared" si="160"/>
        <v>N.P.</v>
      </c>
      <c r="AT75" s="175" t="str">
        <f t="shared" si="161"/>
        <v>N.P.</v>
      </c>
      <c r="AU75" s="175" t="str">
        <f t="shared" si="162"/>
        <v>N.P.</v>
      </c>
      <c r="AV75" s="182">
        <f t="shared" si="163"/>
        <v>75004.627420179</v>
      </c>
      <c r="AW75" s="176" t="str">
        <f t="shared" si="164"/>
        <v>N.P.</v>
      </c>
      <c r="AX75" s="192" t="str">
        <f t="shared" si="165"/>
        <v>N.P.</v>
      </c>
      <c r="AY75" s="175" t="str">
        <f t="shared" si="166"/>
        <v>N.P.</v>
      </c>
      <c r="AZ75" s="175" t="str">
        <f t="shared" si="167"/>
        <v>N.P.</v>
      </c>
      <c r="BA75" s="175" t="str">
        <f t="shared" si="168"/>
        <v>N.P.</v>
      </c>
      <c r="BB75" s="175" t="str">
        <f t="shared" si="169"/>
        <v>N.P.</v>
      </c>
      <c r="BC75" s="175" t="str">
        <f t="shared" si="170"/>
        <v>N.P.</v>
      </c>
      <c r="BD75" s="175" t="str">
        <f t="shared" si="171"/>
        <v>N.P.</v>
      </c>
      <c r="BE75" s="175" t="str">
        <f t="shared" si="172"/>
        <v>N.P.</v>
      </c>
      <c r="BF75" s="175" t="str">
        <f t="shared" si="173"/>
        <v>N.P.</v>
      </c>
      <c r="BG75" s="184">
        <f t="shared" si="174"/>
        <v>190566.6681109047</v>
      </c>
      <c r="BH75" s="175" t="str">
        <f t="shared" si="175"/>
        <v>N.P.</v>
      </c>
      <c r="BI75" s="175" t="str">
        <f t="shared" si="176"/>
        <v>N.P.</v>
      </c>
      <c r="BJ75" s="175" t="str">
        <f t="shared" si="177"/>
        <v>N.P.</v>
      </c>
      <c r="BK75" s="20">
        <v>7</v>
      </c>
    </row>
    <row r="76" spans="1:63" ht="12.75">
      <c r="A76" s="46"/>
      <c r="B76" s="46"/>
      <c r="C76" s="699"/>
      <c r="D76" s="378">
        <v>1.37185E-08</v>
      </c>
      <c r="E76" s="138">
        <f>(((3.1415926535*(5/3)^(1/2)*O$4*D76*C$8)/C$5)^2*A$22)/(B21+A28)^3</f>
        <v>1947.624955495055</v>
      </c>
      <c r="F76" s="379">
        <f>(((C5*C8*O4)/(8^(1/2)*3.1415926535*C10^2*C7*O3))^2)*(A22^3/(B21+A28))</f>
        <v>0.23765166078967553</v>
      </c>
      <c r="G76" s="645">
        <f>(2*3.142*$O$4^2*$C$8*$D76*K76)/(3*$C$5*$O$6*(L76+$A$28)^2)</f>
        <v>26.332928969618266</v>
      </c>
      <c r="H76" s="650">
        <f>(2*3.142*$C$8*$O$4*D76)/(3*$C$5*$A$28)</f>
        <v>-236.8673586755542</v>
      </c>
      <c r="I76" s="284">
        <f>-$C$5*$H$6*$C$7^2/A22^2*(1+($B$30^2*$C$7^2/A22^2)*(A22/(B21)-(O4/O6)*(1-(B30^2*C7^2/2*K76^2)*(2*K76^2/L76^2-1)-A48*O4/O3)*A22*A28*G76/((B21+A28)*B21)+2*O4^2/(O3*O6)*A48*B48*(A22*A28*A45*H76/(B21*(B21+A28)^2))-0.75-E76-F76))</f>
        <v>-3.3986878115449754E-13</v>
      </c>
      <c r="J76" s="472">
        <f t="shared" si="43"/>
        <v>107964.95316191869</v>
      </c>
      <c r="K76" s="82">
        <v>8</v>
      </c>
      <c r="L76" s="83">
        <v>6.5</v>
      </c>
      <c r="M76" s="83" t="s">
        <v>19</v>
      </c>
      <c r="N76" s="683" t="str">
        <f t="shared" si="80"/>
        <v>N.P.</v>
      </c>
      <c r="O76" s="144" t="str">
        <f t="shared" si="130"/>
        <v>N.P.</v>
      </c>
      <c r="P76" s="145" t="str">
        <f t="shared" si="131"/>
        <v>N.P.</v>
      </c>
      <c r="Q76" s="146" t="str">
        <f t="shared" si="132"/>
        <v>N.P.</v>
      </c>
      <c r="R76" s="159" t="str">
        <f t="shared" si="133"/>
        <v>N.P.</v>
      </c>
      <c r="S76" s="85" t="str">
        <f t="shared" si="134"/>
        <v>N.P.</v>
      </c>
      <c r="T76" s="85" t="str">
        <f t="shared" si="135"/>
        <v>N.P.</v>
      </c>
      <c r="U76" s="85" t="str">
        <f t="shared" si="136"/>
        <v>N.P.</v>
      </c>
      <c r="V76" s="160" t="str">
        <f t="shared" si="137"/>
        <v>N.P.</v>
      </c>
      <c r="W76" s="174" t="str">
        <f t="shared" si="138"/>
        <v>N.P.</v>
      </c>
      <c r="X76" s="175" t="str">
        <f t="shared" si="139"/>
        <v>N.P.</v>
      </c>
      <c r="Y76" s="175" t="str">
        <f t="shared" si="140"/>
        <v>N.P.</v>
      </c>
      <c r="Z76" s="175" t="str">
        <f t="shared" si="141"/>
        <v>N.P.</v>
      </c>
      <c r="AA76" s="175" t="str">
        <f t="shared" si="142"/>
        <v>N.P.</v>
      </c>
      <c r="AB76" s="175" t="str">
        <f t="shared" si="143"/>
        <v>N.P.</v>
      </c>
      <c r="AC76" s="176" t="str">
        <f t="shared" si="144"/>
        <v>N.P.</v>
      </c>
      <c r="AD76" s="174" t="str">
        <f t="shared" si="145"/>
        <v>N.P.</v>
      </c>
      <c r="AE76" s="175" t="str">
        <f t="shared" si="146"/>
        <v>N.P.</v>
      </c>
      <c r="AF76" s="175" t="str">
        <f t="shared" si="147"/>
        <v>N.P.</v>
      </c>
      <c r="AG76" s="175" t="str">
        <f t="shared" si="148"/>
        <v>N.P.</v>
      </c>
      <c r="AH76" s="175" t="str">
        <f t="shared" si="149"/>
        <v>N.P.</v>
      </c>
      <c r="AI76" s="175" t="str">
        <f t="shared" si="150"/>
        <v>N.P.</v>
      </c>
      <c r="AJ76" s="175" t="str">
        <f t="shared" si="151"/>
        <v>N.P.</v>
      </c>
      <c r="AK76" s="175" t="str">
        <f t="shared" si="152"/>
        <v>N.P.</v>
      </c>
      <c r="AL76" s="176" t="str">
        <f t="shared" si="153"/>
        <v>N.P.</v>
      </c>
      <c r="AM76" s="174" t="str">
        <f t="shared" si="154"/>
        <v>N.P.</v>
      </c>
      <c r="AN76" s="175" t="str">
        <f t="shared" si="155"/>
        <v>N.P.</v>
      </c>
      <c r="AO76" s="175" t="str">
        <f t="shared" si="156"/>
        <v>N.P.</v>
      </c>
      <c r="AP76" s="175" t="str">
        <f t="shared" si="157"/>
        <v>N.P.</v>
      </c>
      <c r="AQ76" s="175" t="str">
        <f t="shared" si="158"/>
        <v>N.P.</v>
      </c>
      <c r="AR76" s="175" t="str">
        <f t="shared" si="159"/>
        <v>N.P.</v>
      </c>
      <c r="AS76" s="175" t="str">
        <f t="shared" si="160"/>
        <v>N.P.</v>
      </c>
      <c r="AT76" s="175" t="str">
        <f t="shared" si="161"/>
        <v>N.P.</v>
      </c>
      <c r="AU76" s="175" t="str">
        <f t="shared" si="162"/>
        <v>N.P.</v>
      </c>
      <c r="AV76" s="184">
        <f t="shared" si="163"/>
        <v>75004.67785148454</v>
      </c>
      <c r="AW76" s="189">
        <f t="shared" si="164"/>
        <v>75004.59936907438</v>
      </c>
      <c r="AX76" s="192" t="str">
        <f t="shared" si="165"/>
        <v>N.P.</v>
      </c>
      <c r="AY76" s="175" t="str">
        <f t="shared" si="166"/>
        <v>N.P.</v>
      </c>
      <c r="AZ76" s="175" t="str">
        <f t="shared" si="167"/>
        <v>N.P.</v>
      </c>
      <c r="BA76" s="175" t="str">
        <f t="shared" si="168"/>
        <v>N.P.</v>
      </c>
      <c r="BB76" s="175" t="str">
        <f t="shared" si="169"/>
        <v>N.P.</v>
      </c>
      <c r="BC76" s="175" t="str">
        <f t="shared" si="170"/>
        <v>N.P.</v>
      </c>
      <c r="BD76" s="175" t="str">
        <f t="shared" si="171"/>
        <v>N.P.</v>
      </c>
      <c r="BE76" s="175" t="str">
        <f t="shared" si="172"/>
        <v>N.P.</v>
      </c>
      <c r="BF76" s="175" t="str">
        <f t="shared" si="173"/>
        <v>N.P.</v>
      </c>
      <c r="BG76" s="184">
        <f t="shared" si="174"/>
        <v>190566.99366144266</v>
      </c>
      <c r="BH76" s="184">
        <f t="shared" si="175"/>
        <v>190566.96224868947</v>
      </c>
      <c r="BI76" s="175" t="str">
        <f t="shared" si="176"/>
        <v>N.P.</v>
      </c>
      <c r="BJ76" s="175" t="str">
        <f t="shared" si="177"/>
        <v>N.P.</v>
      </c>
      <c r="BK76" s="20">
        <v>6</v>
      </c>
    </row>
    <row r="77" spans="1:63" ht="12.75">
      <c r="A77" s="46"/>
      <c r="B77" s="46"/>
      <c r="C77" s="699">
        <f>J77-J78</f>
        <v>0.0005156881088623777</v>
      </c>
      <c r="D77" s="378">
        <v>2.1107E-08</v>
      </c>
      <c r="E77" s="138">
        <f>(((3.1415926535*(5/3)^(1/2)*O$4*D77*C$8)/C$5)^2*A$22)/(B22+A27)^3</f>
        <v>1945.0415623052415</v>
      </c>
      <c r="F77" s="379">
        <f>(((C5*C8*O4)/(8^(1/2)*3.1415926535*C10^2*C7*O3))^2)*(A22^3/(B22+A27))</f>
        <v>0.17823874559225666</v>
      </c>
      <c r="G77" s="645">
        <f>(2*3.142*$O$4^2*$C$8*$D77*K77)/(3*$C$5*$O$6*(L77+$A$27)^2)</f>
        <v>22.78985578714689</v>
      </c>
      <c r="H77" s="650">
        <f>(2*3.142*$C$8*$O$4*D77)/(3*$C$5*$A$27)</f>
        <v>364.43921271020315</v>
      </c>
      <c r="I77" s="284">
        <f>-$C$5*$H$6*$C$7^2/A22^2*(1+($B$30^2*$C$7^2/A22^2)*(A22/(B22)-(O4/O6)*(1-(B30^2*C7^2/2*K77^2)*(2*K77^2/L77^2-1)-A48*O4/O3)*A22*A27*G77/((B22+A27)*B22)+2*O4^2/(O3*O6)*A48*B48*(A22*A27*A44*H77/(B22*(B22+A27)^2))-0.75-E77-F77))</f>
        <v>-3.398683028968768E-13</v>
      </c>
      <c r="J77" s="472">
        <f t="shared" si="43"/>
        <v>107964.95556952138</v>
      </c>
      <c r="K77" s="82">
        <v>8</v>
      </c>
      <c r="L77" s="83">
        <v>7.5</v>
      </c>
      <c r="M77" s="83" t="s">
        <v>61</v>
      </c>
      <c r="N77" s="683" t="str">
        <f t="shared" si="80"/>
        <v>N.P.</v>
      </c>
      <c r="O77" s="144" t="str">
        <f t="shared" si="130"/>
        <v>N.P.</v>
      </c>
      <c r="P77" s="145" t="str">
        <f t="shared" si="131"/>
        <v>N.P.</v>
      </c>
      <c r="Q77" s="146" t="str">
        <f t="shared" si="132"/>
        <v>N.P.</v>
      </c>
      <c r="R77" s="159" t="str">
        <f t="shared" si="133"/>
        <v>N.P.</v>
      </c>
      <c r="S77" s="85" t="str">
        <f t="shared" si="134"/>
        <v>N.P.</v>
      </c>
      <c r="T77" s="85" t="str">
        <f t="shared" si="135"/>
        <v>N.P.</v>
      </c>
      <c r="U77" s="85" t="str">
        <f t="shared" si="136"/>
        <v>N.P.</v>
      </c>
      <c r="V77" s="160" t="str">
        <f t="shared" si="137"/>
        <v>N.P.</v>
      </c>
      <c r="W77" s="174" t="str">
        <f t="shared" si="138"/>
        <v>N.P.</v>
      </c>
      <c r="X77" s="175" t="str">
        <f t="shared" si="139"/>
        <v>N.P.</v>
      </c>
      <c r="Y77" s="175" t="str">
        <f t="shared" si="140"/>
        <v>N.P.</v>
      </c>
      <c r="Z77" s="175" t="str">
        <f t="shared" si="141"/>
        <v>N.P.</v>
      </c>
      <c r="AA77" s="175" t="str">
        <f t="shared" si="142"/>
        <v>N.P.</v>
      </c>
      <c r="AB77" s="175" t="str">
        <f t="shared" si="143"/>
        <v>N.P.</v>
      </c>
      <c r="AC77" s="176" t="str">
        <f t="shared" si="144"/>
        <v>N.P.</v>
      </c>
      <c r="AD77" s="174" t="str">
        <f t="shared" si="145"/>
        <v>N.P.</v>
      </c>
      <c r="AE77" s="175" t="str">
        <f t="shared" si="146"/>
        <v>N.P.</v>
      </c>
      <c r="AF77" s="175" t="str">
        <f t="shared" si="147"/>
        <v>N.P.</v>
      </c>
      <c r="AG77" s="175" t="str">
        <f t="shared" si="148"/>
        <v>N.P.</v>
      </c>
      <c r="AH77" s="175" t="str">
        <f t="shared" si="149"/>
        <v>N.P.</v>
      </c>
      <c r="AI77" s="175" t="str">
        <f t="shared" si="150"/>
        <v>N.P.</v>
      </c>
      <c r="AJ77" s="175" t="str">
        <f t="shared" si="151"/>
        <v>N.P.</v>
      </c>
      <c r="AK77" s="175" t="str">
        <f t="shared" si="152"/>
        <v>N.P.</v>
      </c>
      <c r="AL77" s="176" t="str">
        <f t="shared" si="153"/>
        <v>N.P.</v>
      </c>
      <c r="AM77" s="174" t="str">
        <f t="shared" si="154"/>
        <v>N.P.</v>
      </c>
      <c r="AN77" s="175" t="str">
        <f t="shared" si="155"/>
        <v>N.P.</v>
      </c>
      <c r="AO77" s="175" t="str">
        <f t="shared" si="156"/>
        <v>N.P.</v>
      </c>
      <c r="AP77" s="175" t="str">
        <f t="shared" si="157"/>
        <v>N.P.</v>
      </c>
      <c r="AQ77" s="175" t="str">
        <f t="shared" si="158"/>
        <v>N.P.</v>
      </c>
      <c r="AR77" s="175" t="str">
        <f t="shared" si="159"/>
        <v>N.P.</v>
      </c>
      <c r="AS77" s="175" t="str">
        <f t="shared" si="160"/>
        <v>N.P.</v>
      </c>
      <c r="AT77" s="175" t="str">
        <f t="shared" si="161"/>
        <v>N.P.</v>
      </c>
      <c r="AU77" s="175" t="str">
        <f t="shared" si="162"/>
        <v>N.P.</v>
      </c>
      <c r="AV77" s="175" t="str">
        <f t="shared" si="163"/>
        <v>N.P.</v>
      </c>
      <c r="AW77" s="176" t="str">
        <f t="shared" si="164"/>
        <v>N.P.</v>
      </c>
      <c r="AX77" s="192" t="str">
        <f t="shared" si="165"/>
        <v>N.P.</v>
      </c>
      <c r="AY77" s="175" t="str">
        <f t="shared" si="166"/>
        <v>N.P.</v>
      </c>
      <c r="AZ77" s="175" t="str">
        <f t="shared" si="167"/>
        <v>N.P.</v>
      </c>
      <c r="BA77" s="175" t="str">
        <f t="shared" si="168"/>
        <v>N.P.</v>
      </c>
      <c r="BB77" s="175" t="str">
        <f t="shared" si="169"/>
        <v>N.P.</v>
      </c>
      <c r="BC77" s="175" t="str">
        <f t="shared" si="170"/>
        <v>N.P.</v>
      </c>
      <c r="BD77" s="175" t="str">
        <f t="shared" si="171"/>
        <v>N.P.</v>
      </c>
      <c r="BE77" s="175" t="str">
        <f t="shared" si="172"/>
        <v>N.P.</v>
      </c>
      <c r="BF77" s="175" t="str">
        <f t="shared" si="173"/>
        <v>N.P.</v>
      </c>
      <c r="BG77" s="175" t="str">
        <f t="shared" si="174"/>
        <v>N.P.</v>
      </c>
      <c r="BH77" s="175" t="str">
        <f t="shared" si="175"/>
        <v>N.P.</v>
      </c>
      <c r="BI77" s="182">
        <f t="shared" si="176"/>
        <v>190567.0936822083</v>
      </c>
      <c r="BJ77" s="175" t="str">
        <f t="shared" si="177"/>
        <v>N.P.</v>
      </c>
      <c r="BK77" s="20">
        <v>8</v>
      </c>
    </row>
    <row r="78" spans="1:63" ht="13.5" thickBot="1">
      <c r="A78" s="46"/>
      <c r="B78" s="46"/>
      <c r="C78" s="702"/>
      <c r="D78" s="389">
        <v>1.72889E-08</v>
      </c>
      <c r="E78" s="196">
        <f>(((3.1415926535*(5/3)^(1/2)*O$4*D78*C$8)/C$5)^2*A$22)/(B22+A28)^3</f>
        <v>1947.9886907544296</v>
      </c>
      <c r="F78" s="197">
        <f>(((C5*C8*O4)/(8^(1/2)*3.1415926535*C10^2*C7*O3))^2)*(A22^3/(B22+A28))</f>
        <v>0.2037014235340076</v>
      </c>
      <c r="G78" s="647">
        <f>(2*3.142*$O$4^2*$C$8*$D78*K78)/(3*$C$5*$O$6*(L78+$A$28)^2)</f>
        <v>24.381831362627405</v>
      </c>
      <c r="H78" s="679">
        <f>(2*3.142*$C$8*$O$4*D78)/(3*$C$5*$A$28)</f>
        <v>-298.5148578493122</v>
      </c>
      <c r="I78" s="286">
        <f>-$C$5*$H$6*$C$7^2/A22^2*(1+($B$30^2*$C$7^2/A22^2)*(A22/(B22)-(O4/O6)*(1-(B30^2*C7^2/2*K78^2)*(2*K78^2/L78^2-1)-A48*O4/O3)*A22*A28*G78/((B22+A28)*B22)+2*O4^2/(O3*O6)*A48*B48*(A22*A28*A45*H78/(B22*(B22+A28)^2))-0.75-E78-F78))</f>
        <v>-3.3986840533561094E-13</v>
      </c>
      <c r="J78" s="482">
        <f t="shared" si="43"/>
        <v>107964.95505383327</v>
      </c>
      <c r="K78" s="103">
        <v>8</v>
      </c>
      <c r="L78" s="104">
        <v>7.5</v>
      </c>
      <c r="M78" s="104" t="s">
        <v>62</v>
      </c>
      <c r="N78" s="687" t="str">
        <f t="shared" si="80"/>
        <v>N.P.</v>
      </c>
      <c r="O78" s="199" t="str">
        <f t="shared" si="130"/>
        <v>N.P.</v>
      </c>
      <c r="P78" s="200" t="str">
        <f t="shared" si="131"/>
        <v>N.P.</v>
      </c>
      <c r="Q78" s="201" t="str">
        <f t="shared" si="132"/>
        <v>N.P.</v>
      </c>
      <c r="R78" s="202" t="str">
        <f t="shared" si="133"/>
        <v>N.P.</v>
      </c>
      <c r="S78" s="105" t="str">
        <f t="shared" si="134"/>
        <v>N.P.</v>
      </c>
      <c r="T78" s="105" t="str">
        <f t="shared" si="135"/>
        <v>N.P.</v>
      </c>
      <c r="U78" s="105" t="str">
        <f t="shared" si="136"/>
        <v>N.P.</v>
      </c>
      <c r="V78" s="203" t="str">
        <f t="shared" si="137"/>
        <v>N.P.</v>
      </c>
      <c r="W78" s="204" t="str">
        <f t="shared" si="138"/>
        <v>N.P.</v>
      </c>
      <c r="X78" s="205" t="str">
        <f t="shared" si="139"/>
        <v>N.P.</v>
      </c>
      <c r="Y78" s="205" t="str">
        <f t="shared" si="140"/>
        <v>N.P.</v>
      </c>
      <c r="Z78" s="205" t="str">
        <f t="shared" si="141"/>
        <v>N.P.</v>
      </c>
      <c r="AA78" s="205" t="str">
        <f t="shared" si="142"/>
        <v>N.P.</v>
      </c>
      <c r="AB78" s="205" t="str">
        <f t="shared" si="143"/>
        <v>N.P.</v>
      </c>
      <c r="AC78" s="206" t="str">
        <f t="shared" si="144"/>
        <v>N.P.</v>
      </c>
      <c r="AD78" s="204" t="str">
        <f t="shared" si="145"/>
        <v>N.P.</v>
      </c>
      <c r="AE78" s="205" t="str">
        <f t="shared" si="146"/>
        <v>N.P.</v>
      </c>
      <c r="AF78" s="205" t="str">
        <f t="shared" si="147"/>
        <v>N.P.</v>
      </c>
      <c r="AG78" s="205" t="str">
        <f t="shared" si="148"/>
        <v>N.P.</v>
      </c>
      <c r="AH78" s="205" t="str">
        <f t="shared" si="149"/>
        <v>N.P.</v>
      </c>
      <c r="AI78" s="205" t="str">
        <f t="shared" si="150"/>
        <v>N.P.</v>
      </c>
      <c r="AJ78" s="205" t="str">
        <f t="shared" si="151"/>
        <v>N.P.</v>
      </c>
      <c r="AK78" s="205" t="str">
        <f t="shared" si="152"/>
        <v>N.P.</v>
      </c>
      <c r="AL78" s="206" t="str">
        <f t="shared" si="153"/>
        <v>N.P.</v>
      </c>
      <c r="AM78" s="204" t="str">
        <f t="shared" si="154"/>
        <v>N.P.</v>
      </c>
      <c r="AN78" s="205" t="str">
        <f t="shared" si="155"/>
        <v>N.P.</v>
      </c>
      <c r="AO78" s="205" t="str">
        <f t="shared" si="156"/>
        <v>N.P.</v>
      </c>
      <c r="AP78" s="205" t="str">
        <f t="shared" si="157"/>
        <v>N.P.</v>
      </c>
      <c r="AQ78" s="205" t="str">
        <f t="shared" si="158"/>
        <v>N.P.</v>
      </c>
      <c r="AR78" s="205" t="str">
        <f t="shared" si="159"/>
        <v>N.P.</v>
      </c>
      <c r="AS78" s="205" t="str">
        <f t="shared" si="160"/>
        <v>N.P.</v>
      </c>
      <c r="AT78" s="205" t="str">
        <f t="shared" si="161"/>
        <v>N.P.</v>
      </c>
      <c r="AU78" s="205" t="str">
        <f t="shared" si="162"/>
        <v>N.P.</v>
      </c>
      <c r="AV78" s="205" t="str">
        <f t="shared" si="163"/>
        <v>N.P.</v>
      </c>
      <c r="AW78" s="206" t="str">
        <f t="shared" si="164"/>
        <v>N.P.</v>
      </c>
      <c r="AX78" s="207" t="str">
        <f t="shared" si="165"/>
        <v>N.P.</v>
      </c>
      <c r="AY78" s="205" t="str">
        <f t="shared" si="166"/>
        <v>N.P.</v>
      </c>
      <c r="AZ78" s="205" t="str">
        <f t="shared" si="167"/>
        <v>N.P.</v>
      </c>
      <c r="BA78" s="205" t="str">
        <f t="shared" si="168"/>
        <v>N.P.</v>
      </c>
      <c r="BB78" s="205" t="str">
        <f t="shared" si="169"/>
        <v>N.P.</v>
      </c>
      <c r="BC78" s="205" t="str">
        <f t="shared" si="170"/>
        <v>N.P.</v>
      </c>
      <c r="BD78" s="205" t="str">
        <f t="shared" si="171"/>
        <v>N.P.</v>
      </c>
      <c r="BE78" s="205" t="str">
        <f t="shared" si="172"/>
        <v>N.P.</v>
      </c>
      <c r="BF78" s="205" t="str">
        <f t="shared" si="173"/>
        <v>N.P.</v>
      </c>
      <c r="BG78" s="205" t="str">
        <f t="shared" si="174"/>
        <v>N.P.</v>
      </c>
      <c r="BH78" s="205" t="str">
        <f t="shared" si="175"/>
        <v>N.P.</v>
      </c>
      <c r="BI78" s="208">
        <f t="shared" si="176"/>
        <v>190567.28100997276</v>
      </c>
      <c r="BJ78" s="209">
        <f t="shared" si="177"/>
        <v>190566.84966354616</v>
      </c>
      <c r="BK78" s="21">
        <v>7</v>
      </c>
    </row>
    <row r="79" spans="1:61" ht="15" thickTop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2" t="s">
        <v>59</v>
      </c>
      <c r="M79" s="21">
        <v>1</v>
      </c>
      <c r="N79" s="210">
        <v>1</v>
      </c>
      <c r="O79" s="211">
        <v>2</v>
      </c>
      <c r="P79" s="212">
        <v>1</v>
      </c>
      <c r="Q79" s="210">
        <v>1</v>
      </c>
      <c r="R79" s="211">
        <v>2</v>
      </c>
      <c r="S79" s="211">
        <v>1</v>
      </c>
      <c r="T79" s="211">
        <v>3</v>
      </c>
      <c r="U79" s="212">
        <v>2</v>
      </c>
      <c r="V79" s="210">
        <v>1</v>
      </c>
      <c r="W79" s="211">
        <v>2</v>
      </c>
      <c r="X79" s="211">
        <v>1</v>
      </c>
      <c r="Y79" s="211">
        <v>3</v>
      </c>
      <c r="Z79" s="211">
        <v>2</v>
      </c>
      <c r="AA79" s="211">
        <v>4</v>
      </c>
      <c r="AB79" s="212">
        <v>3</v>
      </c>
      <c r="AC79" s="210">
        <v>1</v>
      </c>
      <c r="AD79" s="211">
        <v>2</v>
      </c>
      <c r="AE79" s="211">
        <v>1</v>
      </c>
      <c r="AF79" s="211">
        <v>3</v>
      </c>
      <c r="AG79" s="211">
        <v>2</v>
      </c>
      <c r="AH79" s="211">
        <v>4</v>
      </c>
      <c r="AI79" s="211">
        <v>3</v>
      </c>
      <c r="AJ79" s="211">
        <v>5</v>
      </c>
      <c r="AK79" s="212">
        <v>4</v>
      </c>
      <c r="AL79" s="210">
        <v>1</v>
      </c>
      <c r="AM79" s="211">
        <v>2</v>
      </c>
      <c r="AN79" s="211">
        <v>1</v>
      </c>
      <c r="AO79" s="211">
        <v>3</v>
      </c>
      <c r="AP79" s="211">
        <v>2</v>
      </c>
      <c r="AQ79" s="211">
        <v>4</v>
      </c>
      <c r="AR79" s="211">
        <v>3</v>
      </c>
      <c r="AS79" s="211">
        <v>5</v>
      </c>
      <c r="AT79" s="211">
        <v>4</v>
      </c>
      <c r="AU79" s="211">
        <v>6</v>
      </c>
      <c r="AV79" s="212">
        <v>5</v>
      </c>
      <c r="AW79" s="210">
        <v>1</v>
      </c>
      <c r="AX79" s="211">
        <v>2</v>
      </c>
      <c r="AY79" s="211">
        <v>1</v>
      </c>
      <c r="AZ79" s="211">
        <v>3</v>
      </c>
      <c r="BA79" s="211">
        <v>2</v>
      </c>
      <c r="BB79" s="211">
        <v>4</v>
      </c>
      <c r="BC79" s="211">
        <v>3</v>
      </c>
      <c r="BD79" s="211">
        <v>5</v>
      </c>
      <c r="BE79" s="211">
        <v>4</v>
      </c>
      <c r="BF79" s="211">
        <v>6</v>
      </c>
      <c r="BG79" s="211">
        <v>5</v>
      </c>
      <c r="BH79" s="211">
        <v>7</v>
      </c>
      <c r="BI79" s="212">
        <v>6</v>
      </c>
    </row>
    <row r="80" spans="1:61" ht="13.5" thickBo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5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</row>
    <row r="81" spans="1:61" ht="13.5" thickTop="1">
      <c r="A81" s="217"/>
      <c r="B81" s="218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20"/>
      <c r="R81" s="221"/>
      <c r="BI81" s="243"/>
    </row>
    <row r="82" spans="1:18" ht="14.25">
      <c r="A82" s="221"/>
      <c r="B82" s="215" t="s">
        <v>66</v>
      </c>
      <c r="C82" s="1"/>
      <c r="D82" s="11"/>
      <c r="E82" s="1"/>
      <c r="F82" s="1"/>
      <c r="G82" s="1"/>
      <c r="H82" s="1"/>
      <c r="I82" s="1"/>
      <c r="J82" s="376" t="s">
        <v>3</v>
      </c>
      <c r="K82" s="213" t="s">
        <v>65</v>
      </c>
      <c r="L82" s="376" t="s">
        <v>97</v>
      </c>
      <c r="M82" s="214" t="s">
        <v>46</v>
      </c>
      <c r="N82" s="10"/>
      <c r="O82" s="11"/>
      <c r="Q82" s="395" t="s">
        <v>64</v>
      </c>
      <c r="R82" s="396"/>
    </row>
    <row r="83" spans="1:63" ht="13.5" customHeight="1" thickBot="1">
      <c r="A83" s="228" t="s">
        <v>63</v>
      </c>
      <c r="B83" s="473">
        <v>0.5</v>
      </c>
      <c r="C83" s="483">
        <f>IF(L83="Not Allowed","",(((3.1415926535*(5/3)^(1/2)*O$4*D83*C$8)/C$5)^2*J83)/(L83+IF(M83="+",B$83,B$84))^3)</f>
        <v>0.05159775866586123</v>
      </c>
      <c r="D83" s="484">
        <f>IF(L83="Not Allowed","",IF(AND(J83&gt;2,K83="s"),0.00000000001325,IF(AND(J83&gt;2,J83=O83),0.00000000001275,IF(AND(J83=2,O83=1,M83="+"),0.00000000001378155,IF(AND(J83=2,M83="+"),0.00000000001325,IF(J83=1,0.000000000013589,IF(AND(J83&gt;=3,O83=2,M83="+"),0.00000000001276,0.00000000000035)))))))</f>
        <v>1.3589E-11</v>
      </c>
      <c r="E83" s="483">
        <f>IF(L83="Not Allowed","",(((C$5*C$8*O$4)/(8^(1/2)*3.1415926535*C$10^2*C$7*O$3))^2)*(J83^3/(L83+IF(M83="+",B$83,B$84))))</f>
        <v>0.0027849803998790104</v>
      </c>
      <c r="F83" s="471">
        <f>IF(L83="Not Allowed","",-($C$5*$H$6*$C$7^2/J83^2)*(1+($B$30^2*$C$7^2/J83^2)*(J83/(L83)-(O$4/O$6)*(1-A$48*O$4/O$3)*J83*IF(M83="+",B$83,B$84)/((L83+IF(M83="+",B$83,B$84))*L83)+2*O$4^2/(O$3*O$6)*A$48*B$48*(J83*IF(M83="+",B$83,B$84)*A$44/(L83*(L83+IF(M83="+",B$83,B$84))^2))-0.75-C83-E83)))</f>
        <v>-2.1787089393359614E-11</v>
      </c>
      <c r="G83" s="471"/>
      <c r="H83" s="471"/>
      <c r="I83" s="480">
        <f>IF(L83="Not Allowed","",((F83-$I$15)*624150948000)*8065.541)</f>
        <v>-2.7692270850431195</v>
      </c>
      <c r="J83" s="235">
        <v>1</v>
      </c>
      <c r="K83" s="230" t="s">
        <v>4</v>
      </c>
      <c r="L83" s="477">
        <f>IF(K83="s",0.5,IF(K83="p",1.5,IF(K83="d",2.5,IF(K83="f",3.5,IF(K83="g",4.5,IF(K83="h",5.5,IF(K83="i",6.5,IF(K83="k",7.5,"Not Allowed"))))))))</f>
        <v>0.5</v>
      </c>
      <c r="M83" s="232" t="s">
        <v>67</v>
      </c>
      <c r="N83" s="475">
        <f>IF(OR(O83&gt;J83,O84&gt;J84,AND(J83=O83,M83="-"),AND(O84=J84,M84="-")),"Orbital Error",IF(AND($O83-O84&lt;&gt;2,$O83-O84&lt;&gt;-2,OR($L83-L84=1,$L83-L84=-1)),IF($J83&lt;&gt;$J84,-(($C$5*$C$8/($F$83-$F84))*100000000)/(IF(AND(J83&gt;1,J84&lt;=8),Q83,Q84)),"N.P."),"N.P."))</f>
        <v>1215.6682765737005</v>
      </c>
      <c r="O83" s="478">
        <f>IF(L83="Not Allowed","",IF(AND(K83="s",M83="-"),"Not Permitted",IF(M83="+",L83+0.5,L83-0.5)))</f>
        <v>1</v>
      </c>
      <c r="P83" s="752" t="s">
        <v>96</v>
      </c>
      <c r="Q83" s="399" t="b">
        <f>IF(J83=2,IF(AND(J83=2,J84=8),Q10,IF(AND(J83=2,J84=7),R10,IF(AND(J83=2,J84=6),S10,IF(AND(J83=2,J84=5),T10,IF(AND(J83=2,J84=4),U10,IF(AND(J83=2,J84=3),V10)))))),IF(J83=3,IF(AND(J83=3,J84=8),W10,IF(AND(J83=3,J84=7),X10,IF(AND(J83=3,J84=6),Y10,IF(AND(J83=3,J84=5),Z10,IF(AND(J83=3,J84=4),AA10))))),IF(J83=4,IF(AND(J83=4,J84=8),AB10,IF(AND(J83=4,J84=7),AC10,IF(AND(J83=4,J84=6),AD10,IF(AND(J83=4,J84=5),AF10)))),IF(J83=5,IF(AND(J83=5,J84=8),AE10,IF(AND(J83=5,J84=7),AG10,IF(AND(J83=5,J84=6),AH10))),IF(J83=6,IF(AND(J83=6,J84=8),AI10,IF(AND(J83=6,J84=7),AJ10)),IF(J83=7,IF(AND(J83=7,J84=8),AK10)))))))</f>
        <v>0</v>
      </c>
      <c r="R83" s="397"/>
      <c r="BK83" s="216"/>
    </row>
    <row r="84" spans="1:18" ht="14.25" thickBot="1" thickTop="1">
      <c r="A84" s="229" t="s">
        <v>32</v>
      </c>
      <c r="B84" s="474">
        <v>-0.5</v>
      </c>
      <c r="C84" s="483">
        <f>IF(L84="Not Allowed","",(((3.1415926535*(5/3)^(1/2)*O$4*D84*C$8)/C$5)^2*J84)/(L84+IF(M84="+",B$83,B$84))^3)</f>
        <v>0.011373580270612218</v>
      </c>
      <c r="D84" s="484">
        <f>IF(L84="Not Allowed","",IF(AND(J84&gt;2,K84="s"),0.00000000001325,IF(AND(J84&gt;=3,J84=O84),0.00000000001275,IF(AND(J84=2,O84=1,M84="+"),0.00000000001378155,IF(J84=1,0.000000000013585,IF(AND(J84&gt;=2,O84=2,M84="+"),0.00000000001276,0.00000000000035))))))</f>
        <v>1.276E-11</v>
      </c>
      <c r="E84" s="483">
        <f>IF(L84="Not Allowed","",(((C$5*C$8*O$4)/(8^(1/2)*3.1415926535*C$10^2*C$7*O$3))^2)*(J84^3/(L84+IF(M84="+",B$83,B$84))))</f>
        <v>0.011139921599516042</v>
      </c>
      <c r="F84" s="471">
        <f>IF(L84="Not Allowed","",-($C$5*$H$6*$C$7^2/J84^2)*(1+($B$30^2*$C$7^2/J84^2)*(J84/(L84)-(O$4/O$6)*(1-A$48*O$4/O$3)*J84*IF(M84="+",B$83,B$84)/((L84+IF(M84="+",B$83,B$84))*L84)+2*O$4^2/(O$3*O$6)*A$48*B$48*(J84*IF(M84="+",B$83,B$84)*A$44/(L84*(L84+IF(M84="+",B$83,B$84))^2))-0.75-C84-E84)))</f>
        <v>-5.4467304269807615E-12</v>
      </c>
      <c r="G84" s="471"/>
      <c r="H84" s="471"/>
      <c r="I84" s="480">
        <f>IF(L84="Not Allowed","",((F84-$I$15)*624150948000)*8065.541)</f>
        <v>82256.47795233129</v>
      </c>
      <c r="J84" s="234">
        <v>2</v>
      </c>
      <c r="K84" s="231" t="s">
        <v>5</v>
      </c>
      <c r="L84" s="476">
        <f>IF(K84="s",0.5,IF(K84="p",1.5,IF(K84="d",2.5,IF(K84="f",3.5,IF(K84="g",4.5,IF(K84="h",5.5,IF(K84="i",6.5,IF(K84="k",7.5,"Not Allowed"))))))))</f>
        <v>1.5</v>
      </c>
      <c r="M84" s="233" t="s">
        <v>67</v>
      </c>
      <c r="N84" s="377"/>
      <c r="O84" s="479">
        <f>IF(L84="Not Allowed","",IF(AND(K84="s",M84="-"),"Not Permitted",IF(M84="+",L84+0.5,L84-0.5)))</f>
        <v>2</v>
      </c>
      <c r="P84" s="753"/>
      <c r="Q84" s="398">
        <f>IF(J83=1,1,IF(J84&gt;8,AL10,1))</f>
        <v>1</v>
      </c>
      <c r="R84" s="396"/>
    </row>
    <row r="85" spans="1:18" ht="13.5" thickTop="1">
      <c r="A85" s="22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8"/>
      <c r="N85" s="1"/>
      <c r="O85" s="45"/>
      <c r="P85" s="1"/>
      <c r="Q85" s="222"/>
      <c r="R85" s="221"/>
    </row>
    <row r="86" spans="1:18" ht="14.25" customHeight="1">
      <c r="A86" s="226"/>
      <c r="B86" s="727" t="s">
        <v>196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8"/>
      <c r="P86" s="729"/>
      <c r="Q86" s="222"/>
      <c r="R86" s="221"/>
    </row>
    <row r="87" spans="1:18" ht="12.75">
      <c r="A87" s="227"/>
      <c r="B87" s="730"/>
      <c r="C87" s="731"/>
      <c r="D87" s="731"/>
      <c r="E87" s="731"/>
      <c r="F87" s="731"/>
      <c r="G87" s="731"/>
      <c r="H87" s="731"/>
      <c r="I87" s="731"/>
      <c r="J87" s="731"/>
      <c r="K87" s="731"/>
      <c r="L87" s="731"/>
      <c r="M87" s="731"/>
      <c r="N87" s="731"/>
      <c r="O87" s="731"/>
      <c r="P87" s="732"/>
      <c r="Q87" s="222"/>
      <c r="R87" s="221"/>
    </row>
    <row r="88" spans="1:18" ht="13.5" thickBo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5"/>
      <c r="R88" s="221"/>
    </row>
    <row r="89" ht="13.5" thickTop="1"/>
    <row r="90" spans="6:8" ht="12.75">
      <c r="F90" s="394"/>
      <c r="G90" s="394"/>
      <c r="H90" s="394"/>
    </row>
    <row r="92" spans="6:8" ht="12.75">
      <c r="F92" s="393"/>
      <c r="G92" s="393"/>
      <c r="H92" s="393"/>
    </row>
    <row r="93" spans="10:11" ht="12.75">
      <c r="J93" s="485"/>
      <c r="K93" s="485"/>
    </row>
    <row r="94" spans="6:8" ht="12.75">
      <c r="F94" s="394"/>
      <c r="G94" s="394"/>
      <c r="H94" s="394"/>
    </row>
    <row r="96" spans="6:8" ht="12.75">
      <c r="F96" s="393"/>
      <c r="G96" s="393"/>
      <c r="H96" s="393"/>
    </row>
  </sheetData>
  <sheetProtection password="F5F5" sheet="1" objects="1" scenarios="1"/>
  <mergeCells count="30">
    <mergeCell ref="M2:N2"/>
    <mergeCell ref="O2:P2"/>
    <mergeCell ref="R2:S2"/>
    <mergeCell ref="O3:P3"/>
    <mergeCell ref="A4:F4"/>
    <mergeCell ref="O4:P4"/>
    <mergeCell ref="A5:A10"/>
    <mergeCell ref="O5:P5"/>
    <mergeCell ref="F6:G6"/>
    <mergeCell ref="I5:J5"/>
    <mergeCell ref="R4:T4"/>
    <mergeCell ref="I9:J9"/>
    <mergeCell ref="O6:P6"/>
    <mergeCell ref="N9:P9"/>
    <mergeCell ref="BK12:BK14"/>
    <mergeCell ref="A33:B33"/>
    <mergeCell ref="A37:B37"/>
    <mergeCell ref="P83:P84"/>
    <mergeCell ref="C12:C14"/>
    <mergeCell ref="D12:F12"/>
    <mergeCell ref="D13:D14"/>
    <mergeCell ref="E13:E14"/>
    <mergeCell ref="B86:P87"/>
    <mergeCell ref="I12:J13"/>
    <mergeCell ref="N10:P10"/>
    <mergeCell ref="R5:T5"/>
    <mergeCell ref="K12:L13"/>
    <mergeCell ref="F13:F14"/>
    <mergeCell ref="G12:G14"/>
    <mergeCell ref="H12:H14"/>
  </mergeCells>
  <printOptions horizontalCentered="1" verticalCentered="1"/>
  <pageMargins left="0.7480314960629921" right="0.7480314960629921" top="0.2755905511811024" bottom="0.2362204724409449" header="0.2362204724409449" footer="0.1968503937007874"/>
  <pageSetup fitToHeight="2" fitToWidth="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78"/>
  <sheetViews>
    <sheetView workbookViewId="0" topLeftCell="A1">
      <pane ySplit="14" topLeftCell="BM15" activePane="bottomLeft" state="frozen"/>
      <selection pane="topLeft" activeCell="D78" sqref="D78"/>
      <selection pane="bottomLeft" activeCell="A1" sqref="A1"/>
    </sheetView>
  </sheetViews>
  <sheetFormatPr defaultColWidth="9.140625" defaultRowHeight="12.75"/>
  <cols>
    <col min="3" max="3" width="18.57421875" style="0" bestFit="1" customWidth="1"/>
    <col min="5" max="5" width="11.7109375" style="0" customWidth="1"/>
    <col min="7" max="7" width="15.57421875" style="0" customWidth="1"/>
    <col min="8" max="8" width="14.421875" style="0" customWidth="1"/>
    <col min="10" max="10" width="4.421875" style="0" customWidth="1"/>
    <col min="11" max="11" width="4.421875" style="250" customWidth="1"/>
    <col min="12" max="12" width="9.57421875" style="250" customWidth="1"/>
    <col min="13" max="15" width="10.140625" style="250" customWidth="1"/>
    <col min="16" max="18" width="11.140625" style="250" customWidth="1"/>
    <col min="19" max="19" width="11.140625" style="250" bestFit="1" customWidth="1"/>
    <col min="20" max="20" width="11.57421875" style="250" customWidth="1"/>
    <col min="21" max="22" width="9.57421875" style="250" customWidth="1"/>
    <col min="23" max="23" width="9.57421875" style="250" bestFit="1" customWidth="1"/>
    <col min="24" max="24" width="4.421875" style="250" customWidth="1"/>
    <col min="25" max="25" width="4.00390625" style="250" customWidth="1"/>
    <col min="26" max="26" width="9.57421875" style="250" customWidth="1"/>
    <col min="27" max="27" width="4.00390625" style="250" customWidth="1"/>
    <col min="28" max="28" width="4.140625" style="250" customWidth="1"/>
    <col min="29" max="29" width="9.57421875" style="250" customWidth="1"/>
    <col min="30" max="30" width="4.00390625" style="250" customWidth="1"/>
    <col min="31" max="31" width="4.421875" style="250" customWidth="1"/>
    <col min="32" max="34" width="4.00390625" style="250" customWidth="1"/>
    <col min="35" max="35" width="9.57421875" style="250" customWidth="1"/>
    <col min="36" max="36" width="4.00390625" style="250" customWidth="1"/>
    <col min="37" max="37" width="4.140625" style="250" customWidth="1"/>
    <col min="38" max="38" width="4.421875" style="250" customWidth="1"/>
    <col min="39" max="39" width="4.00390625" style="250" customWidth="1"/>
    <col min="40" max="40" width="4.421875" style="250" customWidth="1"/>
    <col min="41" max="43" width="4.00390625" style="250" customWidth="1"/>
    <col min="44" max="44" width="4.421875" style="250" customWidth="1"/>
    <col min="45" max="45" width="4.00390625" style="250" customWidth="1"/>
    <col min="46" max="46" width="10.57421875" style="250" customWidth="1"/>
    <col min="47" max="47" width="4.00390625" style="250" customWidth="1"/>
    <col min="48" max="48" width="4.140625" style="250" customWidth="1"/>
    <col min="49" max="49" width="4.421875" style="250" customWidth="1"/>
    <col min="50" max="50" width="4.00390625" style="250" customWidth="1"/>
    <col min="51" max="51" width="4.421875" style="250" customWidth="1"/>
    <col min="52" max="54" width="4.00390625" style="250" customWidth="1"/>
    <col min="55" max="55" width="4.421875" style="250" customWidth="1"/>
    <col min="56" max="56" width="4.00390625" style="250" customWidth="1"/>
    <col min="57" max="57" width="4.421875" style="250" customWidth="1"/>
    <col min="58" max="58" width="4.00390625" style="250" customWidth="1"/>
    <col min="59" max="59" width="10.57421875" style="250" customWidth="1"/>
    <col min="60" max="60" width="4.00390625" style="250" customWidth="1"/>
    <col min="61" max="16384" width="9.140625" style="250" customWidth="1"/>
  </cols>
  <sheetData>
    <row r="1" ht="12.75"/>
    <row r="2" ht="12.75">
      <c r="G2" s="331" t="s">
        <v>85</v>
      </c>
    </row>
    <row r="3" ht="12.75"/>
    <row r="4" ht="12.75">
      <c r="G4" s="340" t="s">
        <v>86</v>
      </c>
    </row>
    <row r="5" ht="12.75">
      <c r="G5" s="340" t="s">
        <v>87</v>
      </c>
    </row>
    <row r="6" ht="12.75"/>
    <row r="7" ht="12.75"/>
    <row r="8" spans="2:8" ht="14.25">
      <c r="B8" s="781" t="s">
        <v>194</v>
      </c>
      <c r="C8" s="781"/>
      <c r="D8" s="781"/>
      <c r="E8" s="781"/>
      <c r="F8" s="781"/>
      <c r="G8" s="781"/>
      <c r="H8" s="673">
        <f>8065.541*1.000025258/8065.752</f>
        <v>0.9999990973482171</v>
      </c>
    </row>
    <row r="9" ht="12.75"/>
    <row r="10" spans="2:8" ht="12.75">
      <c r="B10" s="532"/>
      <c r="C10" s="782" t="s">
        <v>190</v>
      </c>
      <c r="D10" s="783"/>
      <c r="E10" s="783"/>
      <c r="F10" s="783"/>
      <c r="G10" s="783"/>
      <c r="H10" s="784"/>
    </row>
    <row r="11" ht="13.5" thickBot="1"/>
    <row r="12" spans="3:60" ht="13.5" customHeight="1" thickTop="1">
      <c r="C12" s="361"/>
      <c r="D12" s="354"/>
      <c r="E12" s="354"/>
      <c r="F12" s="354"/>
      <c r="H12" s="779" t="s">
        <v>91</v>
      </c>
      <c r="I12" s="720" t="s">
        <v>90</v>
      </c>
      <c r="J12" s="721"/>
      <c r="K12" s="291" t="s">
        <v>0</v>
      </c>
      <c r="L12" s="295">
        <v>1</v>
      </c>
      <c r="M12" s="302">
        <v>2</v>
      </c>
      <c r="N12" s="302">
        <v>2</v>
      </c>
      <c r="O12" s="303">
        <v>2</v>
      </c>
      <c r="P12" s="302">
        <v>3</v>
      </c>
      <c r="Q12" s="302">
        <v>3</v>
      </c>
      <c r="R12" s="302">
        <v>3</v>
      </c>
      <c r="S12" s="302">
        <v>3</v>
      </c>
      <c r="T12" s="303">
        <v>3</v>
      </c>
      <c r="U12" s="302">
        <v>4</v>
      </c>
      <c r="V12" s="302">
        <v>4</v>
      </c>
      <c r="W12" s="302">
        <v>4</v>
      </c>
      <c r="X12" s="302">
        <v>4</v>
      </c>
      <c r="Y12" s="302">
        <v>4</v>
      </c>
      <c r="Z12" s="302">
        <v>4</v>
      </c>
      <c r="AA12" s="303">
        <v>4</v>
      </c>
      <c r="AB12" s="302">
        <v>5</v>
      </c>
      <c r="AC12" s="302">
        <v>5</v>
      </c>
      <c r="AD12" s="302">
        <v>5</v>
      </c>
      <c r="AE12" s="302">
        <v>5</v>
      </c>
      <c r="AF12" s="302">
        <v>5</v>
      </c>
      <c r="AG12" s="302">
        <v>5</v>
      </c>
      <c r="AH12" s="302">
        <v>5</v>
      </c>
      <c r="AI12" s="302">
        <v>5</v>
      </c>
      <c r="AJ12" s="303">
        <v>5</v>
      </c>
      <c r="AK12" s="302">
        <v>6</v>
      </c>
      <c r="AL12" s="302">
        <v>6</v>
      </c>
      <c r="AM12" s="302">
        <v>6</v>
      </c>
      <c r="AN12" s="302">
        <v>6</v>
      </c>
      <c r="AO12" s="302">
        <v>6</v>
      </c>
      <c r="AP12" s="302">
        <v>6</v>
      </c>
      <c r="AQ12" s="302">
        <v>6</v>
      </c>
      <c r="AR12" s="302">
        <v>6</v>
      </c>
      <c r="AS12" s="302">
        <v>6</v>
      </c>
      <c r="AT12" s="302">
        <v>6</v>
      </c>
      <c r="AU12" s="303">
        <v>6</v>
      </c>
      <c r="AV12" s="302">
        <v>7</v>
      </c>
      <c r="AW12" s="302">
        <v>7</v>
      </c>
      <c r="AX12" s="302">
        <v>7</v>
      </c>
      <c r="AY12" s="302">
        <v>7</v>
      </c>
      <c r="AZ12" s="302">
        <v>7</v>
      </c>
      <c r="BA12" s="302">
        <v>7</v>
      </c>
      <c r="BB12" s="302">
        <v>7</v>
      </c>
      <c r="BC12" s="302">
        <v>7</v>
      </c>
      <c r="BD12" s="302">
        <v>7</v>
      </c>
      <c r="BE12" s="302">
        <v>7</v>
      </c>
      <c r="BF12" s="302">
        <v>7</v>
      </c>
      <c r="BG12" s="302">
        <v>7</v>
      </c>
      <c r="BH12" s="303">
        <v>7</v>
      </c>
    </row>
    <row r="13" spans="3:60" ht="14.25">
      <c r="C13" s="7"/>
      <c r="D13" s="354"/>
      <c r="E13" s="354"/>
      <c r="F13" s="354"/>
      <c r="H13" s="780"/>
      <c r="I13" s="722"/>
      <c r="J13" s="723"/>
      <c r="K13" s="292" t="s">
        <v>84</v>
      </c>
      <c r="L13" s="304">
        <v>0.5</v>
      </c>
      <c r="M13" s="305">
        <v>0.5</v>
      </c>
      <c r="N13" s="306">
        <v>1.5</v>
      </c>
      <c r="O13" s="307">
        <v>1.5</v>
      </c>
      <c r="P13" s="305">
        <v>0.5</v>
      </c>
      <c r="Q13" s="308">
        <v>1.5</v>
      </c>
      <c r="R13" s="305">
        <v>1.5</v>
      </c>
      <c r="S13" s="36">
        <v>2.5</v>
      </c>
      <c r="T13" s="309">
        <v>2.5</v>
      </c>
      <c r="U13" s="305">
        <v>0.5</v>
      </c>
      <c r="V13" s="308">
        <v>1.5</v>
      </c>
      <c r="W13" s="305">
        <v>1.5</v>
      </c>
      <c r="X13" s="308">
        <v>2.5</v>
      </c>
      <c r="Y13" s="308">
        <v>2.5</v>
      </c>
      <c r="Z13" s="36">
        <v>3.5</v>
      </c>
      <c r="AA13" s="251">
        <v>3.5</v>
      </c>
      <c r="AB13" s="305">
        <v>0.5</v>
      </c>
      <c r="AC13" s="308">
        <v>1.5</v>
      </c>
      <c r="AD13" s="305">
        <v>1.5</v>
      </c>
      <c r="AE13" s="308">
        <v>2.5</v>
      </c>
      <c r="AF13" s="305">
        <v>2.5</v>
      </c>
      <c r="AG13" s="308">
        <v>3.5</v>
      </c>
      <c r="AH13" s="305">
        <v>3.5</v>
      </c>
      <c r="AI13" s="308">
        <v>4.5</v>
      </c>
      <c r="AJ13" s="309">
        <v>4.5</v>
      </c>
      <c r="AK13" s="305">
        <v>0.5</v>
      </c>
      <c r="AL13" s="36">
        <v>1.5</v>
      </c>
      <c r="AM13" s="305">
        <v>1.5</v>
      </c>
      <c r="AN13" s="36">
        <v>2.5</v>
      </c>
      <c r="AO13" s="305">
        <v>2.5</v>
      </c>
      <c r="AP13" s="36">
        <v>3.5</v>
      </c>
      <c r="AQ13" s="305">
        <v>3.5</v>
      </c>
      <c r="AR13" s="36">
        <v>4.5</v>
      </c>
      <c r="AS13" s="305">
        <v>4.5</v>
      </c>
      <c r="AT13" s="308">
        <v>5.5</v>
      </c>
      <c r="AU13" s="309">
        <v>5.5</v>
      </c>
      <c r="AV13" s="305">
        <v>0.5</v>
      </c>
      <c r="AW13" s="308">
        <v>1.5</v>
      </c>
      <c r="AX13" s="305">
        <v>1.5</v>
      </c>
      <c r="AY13" s="308">
        <v>2.5</v>
      </c>
      <c r="AZ13" s="305">
        <v>2.5</v>
      </c>
      <c r="BA13" s="308">
        <v>3.5</v>
      </c>
      <c r="BB13" s="305">
        <v>3.5</v>
      </c>
      <c r="BC13" s="308">
        <v>4.5</v>
      </c>
      <c r="BD13" s="305">
        <v>4.5</v>
      </c>
      <c r="BE13" s="308">
        <v>5.5</v>
      </c>
      <c r="BF13" s="305">
        <v>5.5</v>
      </c>
      <c r="BG13" s="36">
        <v>6.5</v>
      </c>
      <c r="BH13" s="307">
        <v>6.5</v>
      </c>
    </row>
    <row r="14" spans="3:60" ht="14.25">
      <c r="C14" s="7"/>
      <c r="D14" s="354"/>
      <c r="E14" s="354"/>
      <c r="F14" s="354"/>
      <c r="G14" s="222"/>
      <c r="H14" s="72" t="s">
        <v>2</v>
      </c>
      <c r="I14" s="289" t="s">
        <v>3</v>
      </c>
      <c r="J14" s="290" t="s">
        <v>84</v>
      </c>
      <c r="K14" s="124"/>
      <c r="L14" s="310" t="s">
        <v>7</v>
      </c>
      <c r="M14" s="311" t="s">
        <v>7</v>
      </c>
      <c r="N14" s="123" t="s">
        <v>8</v>
      </c>
      <c r="O14" s="312" t="s">
        <v>9</v>
      </c>
      <c r="P14" s="311" t="s">
        <v>7</v>
      </c>
      <c r="Q14" s="123" t="s">
        <v>8</v>
      </c>
      <c r="R14" s="311" t="s">
        <v>9</v>
      </c>
      <c r="S14" s="123" t="s">
        <v>10</v>
      </c>
      <c r="T14" s="313" t="s">
        <v>11</v>
      </c>
      <c r="U14" s="311" t="s">
        <v>7</v>
      </c>
      <c r="V14" s="123" t="s">
        <v>8</v>
      </c>
      <c r="W14" s="311" t="s">
        <v>9</v>
      </c>
      <c r="X14" s="123" t="s">
        <v>10</v>
      </c>
      <c r="Y14" s="314" t="s">
        <v>11</v>
      </c>
      <c r="Z14" s="314" t="s">
        <v>12</v>
      </c>
      <c r="AA14" s="310" t="s">
        <v>13</v>
      </c>
      <c r="AB14" s="311" t="s">
        <v>7</v>
      </c>
      <c r="AC14" s="123" t="s">
        <v>8</v>
      </c>
      <c r="AD14" s="311" t="s">
        <v>9</v>
      </c>
      <c r="AE14" s="123" t="s">
        <v>10</v>
      </c>
      <c r="AF14" s="314" t="s">
        <v>11</v>
      </c>
      <c r="AG14" s="314" t="s">
        <v>12</v>
      </c>
      <c r="AH14" s="123" t="s">
        <v>13</v>
      </c>
      <c r="AI14" s="123" t="s">
        <v>14</v>
      </c>
      <c r="AJ14" s="313" t="s">
        <v>15</v>
      </c>
      <c r="AK14" s="311" t="s">
        <v>7</v>
      </c>
      <c r="AL14" s="123" t="s">
        <v>8</v>
      </c>
      <c r="AM14" s="311" t="s">
        <v>9</v>
      </c>
      <c r="AN14" s="123" t="s">
        <v>10</v>
      </c>
      <c r="AO14" s="314" t="s">
        <v>11</v>
      </c>
      <c r="AP14" s="314" t="s">
        <v>12</v>
      </c>
      <c r="AQ14" s="123" t="s">
        <v>13</v>
      </c>
      <c r="AR14" s="123" t="s">
        <v>14</v>
      </c>
      <c r="AS14" s="314" t="s">
        <v>15</v>
      </c>
      <c r="AT14" s="123" t="s">
        <v>16</v>
      </c>
      <c r="AU14" s="313" t="s">
        <v>17</v>
      </c>
      <c r="AV14" s="311" t="s">
        <v>7</v>
      </c>
      <c r="AW14" s="123" t="s">
        <v>8</v>
      </c>
      <c r="AX14" s="311" t="s">
        <v>9</v>
      </c>
      <c r="AY14" s="123" t="s">
        <v>10</v>
      </c>
      <c r="AZ14" s="314" t="s">
        <v>11</v>
      </c>
      <c r="BA14" s="314" t="s">
        <v>12</v>
      </c>
      <c r="BB14" s="123" t="s">
        <v>13</v>
      </c>
      <c r="BC14" s="123" t="s">
        <v>14</v>
      </c>
      <c r="BD14" s="314" t="s">
        <v>15</v>
      </c>
      <c r="BE14" s="123" t="s">
        <v>16</v>
      </c>
      <c r="BF14" s="314" t="s">
        <v>17</v>
      </c>
      <c r="BG14" s="315" t="s">
        <v>18</v>
      </c>
      <c r="BH14" s="316" t="s">
        <v>19</v>
      </c>
    </row>
    <row r="15" spans="3:60" ht="12.75">
      <c r="C15" s="6"/>
      <c r="G15" s="222"/>
      <c r="H15" s="339">
        <v>0</v>
      </c>
      <c r="I15" s="283">
        <v>1</v>
      </c>
      <c r="J15" s="123">
        <v>0.5</v>
      </c>
      <c r="K15" s="123" t="s">
        <v>7</v>
      </c>
      <c r="L15" s="133"/>
      <c r="M15" s="252"/>
      <c r="N15" s="253"/>
      <c r="O15" s="254"/>
      <c r="P15" s="255"/>
      <c r="Q15" s="253"/>
      <c r="R15" s="253"/>
      <c r="S15" s="253"/>
      <c r="T15" s="256"/>
      <c r="U15" s="255"/>
      <c r="V15" s="253"/>
      <c r="W15" s="253"/>
      <c r="X15" s="253"/>
      <c r="Y15" s="253"/>
      <c r="Z15" s="253"/>
      <c r="AA15" s="256"/>
      <c r="AB15" s="257"/>
      <c r="AC15" s="257"/>
      <c r="AD15" s="257"/>
      <c r="AE15" s="257"/>
      <c r="AF15" s="257"/>
      <c r="AG15" s="257"/>
      <c r="AH15" s="257"/>
      <c r="AI15" s="257"/>
      <c r="AJ15" s="258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8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8"/>
    </row>
    <row r="16" spans="7:60" ht="12.75">
      <c r="G16" s="222"/>
      <c r="H16" s="674">
        <f>82258.949*H8</f>
        <v>82258.87474881302</v>
      </c>
      <c r="I16" s="317">
        <v>2</v>
      </c>
      <c r="J16" s="315">
        <v>0.5</v>
      </c>
      <c r="K16" s="315" t="s">
        <v>7</v>
      </c>
      <c r="L16" s="139"/>
      <c r="M16" s="140"/>
      <c r="N16" s="141"/>
      <c r="O16" s="142"/>
      <c r="P16" s="259"/>
      <c r="Q16" s="260"/>
      <c r="R16" s="260"/>
      <c r="S16" s="260"/>
      <c r="T16" s="261"/>
      <c r="U16" s="259"/>
      <c r="V16" s="260"/>
      <c r="W16" s="260"/>
      <c r="X16" s="260"/>
      <c r="Y16" s="260"/>
      <c r="Z16" s="260"/>
      <c r="AA16" s="261"/>
      <c r="AB16" s="262"/>
      <c r="AC16" s="262"/>
      <c r="AD16" s="262"/>
      <c r="AE16" s="262"/>
      <c r="AF16" s="262"/>
      <c r="AG16" s="262"/>
      <c r="AH16" s="262"/>
      <c r="AI16" s="262"/>
      <c r="AJ16" s="263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3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3"/>
    </row>
    <row r="17" spans="6:60" ht="12.75">
      <c r="F17" s="293"/>
      <c r="G17" s="362"/>
      <c r="H17" s="675">
        <f>82259.279*H8</f>
        <v>82259.20474851514</v>
      </c>
      <c r="I17" s="318">
        <v>2</v>
      </c>
      <c r="J17" s="319">
        <v>1.5</v>
      </c>
      <c r="K17" s="320" t="s">
        <v>8</v>
      </c>
      <c r="L17" s="369">
        <v>1215.6683</v>
      </c>
      <c r="M17" s="367"/>
      <c r="N17" s="145"/>
      <c r="O17" s="146"/>
      <c r="P17" s="264"/>
      <c r="Q17" s="260"/>
      <c r="R17" s="260"/>
      <c r="S17" s="260"/>
      <c r="T17" s="261"/>
      <c r="U17" s="259"/>
      <c r="V17" s="260"/>
      <c r="W17" s="260"/>
      <c r="X17" s="260"/>
      <c r="Y17" s="260"/>
      <c r="Z17" s="260"/>
      <c r="AA17" s="261"/>
      <c r="AB17" s="262"/>
      <c r="AC17" s="262"/>
      <c r="AD17" s="262"/>
      <c r="AE17" s="262"/>
      <c r="AF17" s="262"/>
      <c r="AG17" s="262"/>
      <c r="AH17" s="262"/>
      <c r="AI17" s="262"/>
      <c r="AJ17" s="263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3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3"/>
    </row>
    <row r="18" spans="7:60" ht="13.5" thickBot="1">
      <c r="G18" s="363"/>
      <c r="H18" s="676">
        <f>82258.913*H8</f>
        <v>82258.83874884552</v>
      </c>
      <c r="I18" s="321">
        <v>2</v>
      </c>
      <c r="J18" s="322">
        <v>1.5</v>
      </c>
      <c r="K18" s="323" t="s">
        <v>9</v>
      </c>
      <c r="L18" s="370">
        <v>1215.6737</v>
      </c>
      <c r="M18" s="368"/>
      <c r="N18" s="371"/>
      <c r="O18" s="372"/>
      <c r="P18" s="265"/>
      <c r="Q18" s="266"/>
      <c r="R18" s="266"/>
      <c r="S18" s="260"/>
      <c r="T18" s="261"/>
      <c r="U18" s="259"/>
      <c r="V18" s="260"/>
      <c r="W18" s="260"/>
      <c r="X18" s="260"/>
      <c r="Y18" s="260"/>
      <c r="Z18" s="260"/>
      <c r="AA18" s="261"/>
      <c r="AB18" s="262"/>
      <c r="AC18" s="262"/>
      <c r="AD18" s="262"/>
      <c r="AE18" s="262"/>
      <c r="AF18" s="262"/>
      <c r="AG18" s="262"/>
      <c r="AH18" s="262"/>
      <c r="AI18" s="262"/>
      <c r="AJ18" s="263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3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3"/>
    </row>
    <row r="19" spans="3:60" ht="13.5" thickTop="1">
      <c r="C19" s="354"/>
      <c r="D19" s="354"/>
      <c r="H19" s="675">
        <f>97492.215*H8</f>
        <v>97492.12699847831</v>
      </c>
      <c r="I19" s="317">
        <v>3</v>
      </c>
      <c r="J19" s="319">
        <v>0.5</v>
      </c>
      <c r="K19" s="320" t="s">
        <v>7</v>
      </c>
      <c r="L19" s="139"/>
      <c r="M19" s="358"/>
      <c r="N19" s="375">
        <v>6562.9099</v>
      </c>
      <c r="O19" s="374">
        <v>6562.752</v>
      </c>
      <c r="P19" s="373"/>
      <c r="Q19" s="141"/>
      <c r="R19" s="141"/>
      <c r="S19" s="141"/>
      <c r="T19" s="142"/>
      <c r="U19" s="259"/>
      <c r="V19" s="260"/>
      <c r="W19" s="260"/>
      <c r="X19" s="260"/>
      <c r="Y19" s="260"/>
      <c r="Z19" s="260"/>
      <c r="AA19" s="261"/>
      <c r="AB19" s="262"/>
      <c r="AC19" s="262"/>
      <c r="AD19" s="262"/>
      <c r="AE19" s="262"/>
      <c r="AF19" s="262"/>
      <c r="AG19" s="262"/>
      <c r="AH19" s="262"/>
      <c r="AI19" s="262"/>
      <c r="AJ19" s="263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3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3"/>
    </row>
    <row r="20" spans="8:60" ht="12.75">
      <c r="H20" s="675">
        <f>97492.313*H8</f>
        <v>97492.22499838985</v>
      </c>
      <c r="I20" s="318">
        <v>3</v>
      </c>
      <c r="J20" s="319">
        <v>1.5</v>
      </c>
      <c r="K20" s="320" t="s">
        <v>8</v>
      </c>
      <c r="L20" s="139">
        <v>1025.7219</v>
      </c>
      <c r="M20" s="144">
        <v>6562.7256</v>
      </c>
      <c r="N20" s="145"/>
      <c r="O20" s="146"/>
      <c r="P20" s="144"/>
      <c r="Q20" s="145"/>
      <c r="R20" s="145"/>
      <c r="S20" s="145"/>
      <c r="T20" s="146"/>
      <c r="U20" s="259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3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3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3"/>
    </row>
    <row r="21" spans="8:60" ht="12.75">
      <c r="H21" s="675">
        <f>97492.205*H8</f>
        <v>97492.11699848734</v>
      </c>
      <c r="I21" s="318">
        <v>3</v>
      </c>
      <c r="J21" s="319">
        <v>1.5</v>
      </c>
      <c r="K21" s="320" t="s">
        <v>9</v>
      </c>
      <c r="L21" s="139">
        <v>1025.723</v>
      </c>
      <c r="M21" s="144">
        <v>6562.772</v>
      </c>
      <c r="N21" s="145"/>
      <c r="O21" s="146"/>
      <c r="P21" s="144"/>
      <c r="Q21" s="145"/>
      <c r="R21" s="145"/>
      <c r="S21" s="145"/>
      <c r="T21" s="146"/>
      <c r="U21" s="259"/>
      <c r="V21" s="260"/>
      <c r="W21" s="260"/>
      <c r="X21" s="260"/>
      <c r="Y21" s="260"/>
      <c r="Z21" s="260"/>
      <c r="AA21" s="261"/>
      <c r="AB21" s="262"/>
      <c r="AC21" s="262"/>
      <c r="AD21" s="262"/>
      <c r="AE21" s="262"/>
      <c r="AF21" s="262"/>
      <c r="AG21" s="262"/>
      <c r="AH21" s="262"/>
      <c r="AI21" s="262"/>
      <c r="AJ21" s="263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3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3"/>
    </row>
    <row r="22" spans="8:60" ht="12.75">
      <c r="H22" s="675">
        <f>97492.349*H8</f>
        <v>97492.26099835736</v>
      </c>
      <c r="I22" s="318">
        <v>3</v>
      </c>
      <c r="J22" s="319">
        <v>2.5</v>
      </c>
      <c r="K22" s="320" t="s">
        <v>10</v>
      </c>
      <c r="L22" s="139"/>
      <c r="M22" s="144"/>
      <c r="N22" s="146">
        <v>6562.852</v>
      </c>
      <c r="O22" s="146"/>
      <c r="P22" s="144"/>
      <c r="Q22" s="145"/>
      <c r="R22" s="145"/>
      <c r="S22" s="145"/>
      <c r="T22" s="146"/>
      <c r="U22" s="259"/>
      <c r="V22" s="260"/>
      <c r="W22" s="260"/>
      <c r="X22" s="260"/>
      <c r="Y22" s="260"/>
      <c r="Z22" s="260"/>
      <c r="AA22" s="261"/>
      <c r="AB22" s="262"/>
      <c r="AC22" s="262"/>
      <c r="AD22" s="262"/>
      <c r="AE22" s="262"/>
      <c r="AF22" s="262"/>
      <c r="AG22" s="262"/>
      <c r="AH22" s="262"/>
      <c r="AI22" s="262"/>
      <c r="AJ22" s="263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3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3"/>
    </row>
    <row r="23" spans="8:60" ht="12.75">
      <c r="H23" s="676">
        <f>97492.313*H8</f>
        <v>97492.22499838985</v>
      </c>
      <c r="I23" s="321">
        <v>3</v>
      </c>
      <c r="J23" s="294">
        <v>2.5</v>
      </c>
      <c r="K23" s="323" t="s">
        <v>11</v>
      </c>
      <c r="L23" s="162"/>
      <c r="M23" s="148"/>
      <c r="N23" s="149"/>
      <c r="O23" s="150">
        <v>6562.7101</v>
      </c>
      <c r="P23" s="148"/>
      <c r="Q23" s="149"/>
      <c r="R23" s="149"/>
      <c r="S23" s="149"/>
      <c r="T23" s="150"/>
      <c r="U23" s="264"/>
      <c r="V23" s="260"/>
      <c r="W23" s="260"/>
      <c r="X23" s="260"/>
      <c r="Y23" s="260"/>
      <c r="Z23" s="260"/>
      <c r="AA23" s="261"/>
      <c r="AB23" s="262"/>
      <c r="AC23" s="262"/>
      <c r="AD23" s="262"/>
      <c r="AE23" s="262"/>
      <c r="AF23" s="262"/>
      <c r="AG23" s="262"/>
      <c r="AH23" s="262"/>
      <c r="AI23" s="262"/>
      <c r="AJ23" s="263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3"/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3"/>
    </row>
    <row r="24" spans="8:60" ht="12.75">
      <c r="H24" s="675">
        <f>102823.846*H8</f>
        <v>102823.75318587209</v>
      </c>
      <c r="I24" s="318">
        <v>4</v>
      </c>
      <c r="J24" s="319">
        <v>0.5</v>
      </c>
      <c r="K24" s="320" t="s">
        <v>7</v>
      </c>
      <c r="L24" s="139"/>
      <c r="M24" s="144"/>
      <c r="N24" s="145">
        <v>4861.3752</v>
      </c>
      <c r="O24" s="146">
        <v>4861.2885</v>
      </c>
      <c r="P24" s="144"/>
      <c r="Q24" s="145">
        <v>18751.21</v>
      </c>
      <c r="R24" s="145">
        <v>18750.83</v>
      </c>
      <c r="S24" s="145"/>
      <c r="T24" s="146"/>
      <c r="U24" s="267"/>
      <c r="V24" s="268"/>
      <c r="W24" s="268"/>
      <c r="X24" s="268"/>
      <c r="Y24" s="268"/>
      <c r="Z24" s="268"/>
      <c r="AA24" s="269"/>
      <c r="AB24" s="270"/>
      <c r="AC24" s="270"/>
      <c r="AD24" s="270"/>
      <c r="AE24" s="270"/>
      <c r="AF24" s="270"/>
      <c r="AG24" s="270"/>
      <c r="AH24" s="270"/>
      <c r="AI24" s="270"/>
      <c r="AJ24" s="271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1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1"/>
    </row>
    <row r="25" spans="8:60" ht="12.75">
      <c r="H25" s="675">
        <f>102823.887*H8</f>
        <v>102823.79418583508</v>
      </c>
      <c r="I25" s="318">
        <v>4</v>
      </c>
      <c r="J25" s="319">
        <v>1.5</v>
      </c>
      <c r="K25" s="320" t="s">
        <v>8</v>
      </c>
      <c r="L25" s="139">
        <v>972.5367</v>
      </c>
      <c r="M25" s="144">
        <v>4861.2873</v>
      </c>
      <c r="N25" s="145"/>
      <c r="O25" s="146"/>
      <c r="P25" s="144">
        <v>18750.724</v>
      </c>
      <c r="Q25" s="145"/>
      <c r="R25" s="145"/>
      <c r="S25" s="145"/>
      <c r="T25" s="146"/>
      <c r="U25" s="247"/>
      <c r="V25" s="244"/>
      <c r="W25" s="244"/>
      <c r="X25" s="244"/>
      <c r="Y25" s="244"/>
      <c r="Z25" s="244"/>
      <c r="AA25" s="245"/>
      <c r="AB25" s="270"/>
      <c r="AC25" s="270"/>
      <c r="AD25" s="270"/>
      <c r="AE25" s="270"/>
      <c r="AF25" s="270"/>
      <c r="AG25" s="270"/>
      <c r="AH25" s="270"/>
      <c r="AI25" s="270"/>
      <c r="AJ25" s="271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1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1"/>
    </row>
    <row r="26" spans="3:60" ht="12.75">
      <c r="C26" s="672"/>
      <c r="H26" s="675">
        <f>102823.842*H8</f>
        <v>102823.7491858757</v>
      </c>
      <c r="I26" s="318">
        <v>4</v>
      </c>
      <c r="J26" s="319">
        <v>1.5</v>
      </c>
      <c r="K26" s="320" t="s">
        <v>9</v>
      </c>
      <c r="L26" s="139">
        <v>972.5371</v>
      </c>
      <c r="M26" s="144">
        <v>4861.298</v>
      </c>
      <c r="N26" s="145"/>
      <c r="O26" s="146"/>
      <c r="P26" s="144">
        <v>18750.883</v>
      </c>
      <c r="Q26" s="145"/>
      <c r="R26" s="145"/>
      <c r="S26" s="145"/>
      <c r="T26" s="146"/>
      <c r="U26" s="247"/>
      <c r="V26" s="244"/>
      <c r="W26" s="244"/>
      <c r="X26" s="244"/>
      <c r="Y26" s="244"/>
      <c r="Z26" s="244"/>
      <c r="AA26" s="245"/>
      <c r="AB26" s="270"/>
      <c r="AC26" s="270"/>
      <c r="AD26" s="270"/>
      <c r="AE26" s="270"/>
      <c r="AF26" s="270"/>
      <c r="AG26" s="270"/>
      <c r="AH26" s="270"/>
      <c r="AI26" s="270"/>
      <c r="AJ26" s="271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1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1"/>
    </row>
    <row r="27" spans="8:60" ht="12.75">
      <c r="H27" s="675">
        <f>102823.902*H8</f>
        <v>102823.80918582153</v>
      </c>
      <c r="I27" s="318">
        <v>4</v>
      </c>
      <c r="J27" s="319">
        <v>2.5</v>
      </c>
      <c r="K27" s="320" t="s">
        <v>10</v>
      </c>
      <c r="L27" s="139"/>
      <c r="M27" s="144"/>
      <c r="N27" s="145">
        <v>4861.362</v>
      </c>
      <c r="O27" s="146"/>
      <c r="P27" s="144"/>
      <c r="Q27" s="145"/>
      <c r="R27" s="145"/>
      <c r="S27" s="145"/>
      <c r="T27" s="146"/>
      <c r="U27" s="247"/>
      <c r="V27" s="244"/>
      <c r="W27" s="244"/>
      <c r="X27" s="244"/>
      <c r="Y27" s="244"/>
      <c r="Z27" s="244"/>
      <c r="AA27" s="245"/>
      <c r="AB27" s="270"/>
      <c r="AC27" s="270"/>
      <c r="AD27" s="270"/>
      <c r="AE27" s="270"/>
      <c r="AF27" s="270"/>
      <c r="AG27" s="270"/>
      <c r="AH27" s="270"/>
      <c r="AI27" s="270"/>
      <c r="AJ27" s="271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1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1"/>
    </row>
    <row r="28" spans="8:60" ht="12.75">
      <c r="H28" s="675">
        <f>102823.887*H8</f>
        <v>102823.79418583508</v>
      </c>
      <c r="I28" s="318">
        <v>4</v>
      </c>
      <c r="J28" s="319">
        <v>2.5</v>
      </c>
      <c r="K28" s="320" t="s">
        <v>11</v>
      </c>
      <c r="L28" s="139"/>
      <c r="M28" s="144"/>
      <c r="N28" s="145"/>
      <c r="O28" s="146">
        <v>4861.2789</v>
      </c>
      <c r="P28" s="144"/>
      <c r="Q28" s="145"/>
      <c r="R28" s="145"/>
      <c r="S28" s="145"/>
      <c r="T28" s="146"/>
      <c r="U28" s="247"/>
      <c r="V28" s="244"/>
      <c r="W28" s="244"/>
      <c r="X28" s="244"/>
      <c r="Y28" s="244"/>
      <c r="Z28" s="244"/>
      <c r="AA28" s="245"/>
      <c r="AB28" s="270"/>
      <c r="AC28" s="270"/>
      <c r="AD28" s="270"/>
      <c r="AE28" s="270"/>
      <c r="AF28" s="270"/>
      <c r="AG28" s="270"/>
      <c r="AH28" s="270"/>
      <c r="AI28" s="270"/>
      <c r="AJ28" s="271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1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1"/>
    </row>
    <row r="29" spans="8:60" ht="12.75">
      <c r="H29" s="675">
        <f>102823.91*H8</f>
        <v>102823.81718581432</v>
      </c>
      <c r="I29" s="318">
        <v>4</v>
      </c>
      <c r="J29" s="319">
        <v>3.5</v>
      </c>
      <c r="K29" s="320" t="s">
        <v>12</v>
      </c>
      <c r="L29" s="139"/>
      <c r="M29" s="144"/>
      <c r="N29" s="145"/>
      <c r="O29" s="146"/>
      <c r="P29" s="144"/>
      <c r="Q29" s="145"/>
      <c r="R29" s="145"/>
      <c r="S29" s="145">
        <v>18751.015</v>
      </c>
      <c r="T29" s="145"/>
      <c r="U29" s="247"/>
      <c r="V29" s="244"/>
      <c r="W29" s="244"/>
      <c r="X29" s="244"/>
      <c r="Y29" s="244"/>
      <c r="Z29" s="244"/>
      <c r="AA29" s="245"/>
      <c r="AB29" s="270"/>
      <c r="AC29" s="270"/>
      <c r="AD29" s="270"/>
      <c r="AE29" s="270"/>
      <c r="AF29" s="270"/>
      <c r="AG29" s="270"/>
      <c r="AH29" s="270"/>
      <c r="AI29" s="270"/>
      <c r="AJ29" s="271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1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1"/>
    </row>
    <row r="30" spans="8:60" ht="12.75">
      <c r="H30" s="676">
        <f>102823.902*H8</f>
        <v>102823.80918582153</v>
      </c>
      <c r="I30" s="321">
        <v>4</v>
      </c>
      <c r="J30" s="322">
        <v>3.5</v>
      </c>
      <c r="K30" s="323" t="s">
        <v>13</v>
      </c>
      <c r="L30" s="162"/>
      <c r="M30" s="148"/>
      <c r="N30" s="149"/>
      <c r="O30" s="150"/>
      <c r="P30" s="148"/>
      <c r="Q30" s="149"/>
      <c r="R30" s="149"/>
      <c r="S30" s="145">
        <v>18751.054</v>
      </c>
      <c r="T30" s="149"/>
      <c r="U30" s="272"/>
      <c r="V30" s="246"/>
      <c r="W30" s="246"/>
      <c r="X30" s="246"/>
      <c r="Y30" s="246"/>
      <c r="Z30" s="246"/>
      <c r="AA30" s="273"/>
      <c r="AB30" s="274"/>
      <c r="AC30" s="270"/>
      <c r="AD30" s="270"/>
      <c r="AE30" s="270"/>
      <c r="AF30" s="270"/>
      <c r="AG30" s="270"/>
      <c r="AH30" s="270"/>
      <c r="AI30" s="270"/>
      <c r="AJ30" s="271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1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1"/>
    </row>
    <row r="31" spans="8:60" ht="12.75">
      <c r="H31" s="674">
        <f>105291.624*H8</f>
        <v>105291.52895832786</v>
      </c>
      <c r="I31" s="318">
        <v>5</v>
      </c>
      <c r="J31" s="319">
        <v>0.5</v>
      </c>
      <c r="K31" s="320" t="s">
        <v>7</v>
      </c>
      <c r="L31" s="139"/>
      <c r="M31" s="144"/>
      <c r="N31" s="145">
        <v>4340.5001</v>
      </c>
      <c r="O31" s="146">
        <v>4340.4312</v>
      </c>
      <c r="P31" s="144"/>
      <c r="Q31" s="145">
        <v>12818.14</v>
      </c>
      <c r="R31" s="145">
        <v>12817.962</v>
      </c>
      <c r="S31" s="145"/>
      <c r="T31" s="146"/>
      <c r="U31" s="247"/>
      <c r="V31" s="244">
        <v>40511.92</v>
      </c>
      <c r="W31" s="244">
        <v>40511.17</v>
      </c>
      <c r="X31" s="244"/>
      <c r="Y31" s="244"/>
      <c r="Z31" s="244"/>
      <c r="AA31" s="245"/>
      <c r="AB31" s="267"/>
      <c r="AC31" s="268"/>
      <c r="AD31" s="268"/>
      <c r="AE31" s="268"/>
      <c r="AF31" s="268"/>
      <c r="AG31" s="268"/>
      <c r="AH31" s="268"/>
      <c r="AI31" s="268"/>
      <c r="AJ31" s="269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1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1"/>
    </row>
    <row r="32" spans="8:60" ht="12.75">
      <c r="H32" s="675">
        <f>105291.645*H8</f>
        <v>105291.54995830893</v>
      </c>
      <c r="I32" s="318">
        <v>5</v>
      </c>
      <c r="J32" s="319">
        <v>1.5</v>
      </c>
      <c r="K32" s="320" t="s">
        <v>8</v>
      </c>
      <c r="L32" s="139">
        <v>949.743</v>
      </c>
      <c r="M32" s="144">
        <v>4340.434</v>
      </c>
      <c r="N32" s="145"/>
      <c r="O32" s="146"/>
      <c r="P32" s="144">
        <v>12817.945</v>
      </c>
      <c r="Q32" s="145"/>
      <c r="R32" s="145"/>
      <c r="S32" s="145"/>
      <c r="T32" s="146"/>
      <c r="U32" s="247">
        <v>40510.87</v>
      </c>
      <c r="V32" s="244"/>
      <c r="W32" s="244"/>
      <c r="X32" s="244"/>
      <c r="Y32" s="244"/>
      <c r="Z32" s="244"/>
      <c r="AA32" s="245"/>
      <c r="AB32" s="247"/>
      <c r="AC32" s="244"/>
      <c r="AD32" s="244"/>
      <c r="AE32" s="244"/>
      <c r="AF32" s="244"/>
      <c r="AG32" s="244"/>
      <c r="AH32" s="244"/>
      <c r="AI32" s="244"/>
      <c r="AJ32" s="245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1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1"/>
    </row>
    <row r="33" spans="8:60" ht="12.75">
      <c r="H33" s="675">
        <f>105291.621*H8</f>
        <v>105291.52595833059</v>
      </c>
      <c r="I33" s="318">
        <v>5</v>
      </c>
      <c r="J33" s="319">
        <v>1.5</v>
      </c>
      <c r="K33" s="320" t="s">
        <v>9</v>
      </c>
      <c r="L33" s="139">
        <v>949.7432</v>
      </c>
      <c r="M33" s="144">
        <v>4340.4385</v>
      </c>
      <c r="N33" s="145"/>
      <c r="O33" s="146"/>
      <c r="P33" s="144">
        <v>12817.983</v>
      </c>
      <c r="Q33" s="145"/>
      <c r="R33" s="145"/>
      <c r="S33" s="145"/>
      <c r="T33" s="146"/>
      <c r="U33" s="247">
        <v>40511.28</v>
      </c>
      <c r="V33" s="244"/>
      <c r="W33" s="244"/>
      <c r="X33" s="244"/>
      <c r="Y33" s="244"/>
      <c r="Z33" s="244"/>
      <c r="AA33" s="245"/>
      <c r="AB33" s="247"/>
      <c r="AC33" s="244"/>
      <c r="AD33" s="244"/>
      <c r="AE33" s="244"/>
      <c r="AF33" s="244"/>
      <c r="AG33" s="244"/>
      <c r="AH33" s="244"/>
      <c r="AI33" s="244"/>
      <c r="AJ33" s="245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1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1"/>
    </row>
    <row r="34" spans="8:60" ht="12.75">
      <c r="H34" s="675">
        <f>105291.653*H8</f>
        <v>105291.55795830171</v>
      </c>
      <c r="I34" s="318">
        <v>5</v>
      </c>
      <c r="J34" s="319">
        <v>2.5</v>
      </c>
      <c r="K34" s="320" t="s">
        <v>10</v>
      </c>
      <c r="L34" s="139"/>
      <c r="M34" s="144"/>
      <c r="N34" s="145">
        <v>4340.4946</v>
      </c>
      <c r="O34" s="146"/>
      <c r="P34" s="144"/>
      <c r="Q34" s="145"/>
      <c r="R34" s="145"/>
      <c r="S34" s="145"/>
      <c r="T34" s="146"/>
      <c r="U34" s="247"/>
      <c r="V34" s="244"/>
      <c r="W34" s="244"/>
      <c r="X34" s="244"/>
      <c r="Y34" s="244"/>
      <c r="Z34" s="244"/>
      <c r="AA34" s="245"/>
      <c r="AB34" s="247"/>
      <c r="AC34" s="244"/>
      <c r="AD34" s="244"/>
      <c r="AE34" s="244"/>
      <c r="AF34" s="244"/>
      <c r="AG34" s="244"/>
      <c r="AH34" s="244"/>
      <c r="AI34" s="244"/>
      <c r="AJ34" s="245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1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1"/>
    </row>
    <row r="35" spans="8:60" ht="12.75">
      <c r="H35" s="675">
        <f>105291.645*H8</f>
        <v>105291.54995830893</v>
      </c>
      <c r="I35" s="318">
        <v>5</v>
      </c>
      <c r="J35" s="319">
        <v>2.5</v>
      </c>
      <c r="K35" s="320" t="s">
        <v>11</v>
      </c>
      <c r="L35" s="139"/>
      <c r="M35" s="144"/>
      <c r="N35" s="145"/>
      <c r="O35" s="146">
        <v>4340.4272</v>
      </c>
      <c r="P35" s="144"/>
      <c r="Q35" s="145"/>
      <c r="R35" s="145"/>
      <c r="S35" s="145"/>
      <c r="T35" s="146"/>
      <c r="U35" s="247"/>
      <c r="V35" s="244"/>
      <c r="W35" s="244"/>
      <c r="X35" s="244"/>
      <c r="Y35" s="244"/>
      <c r="Z35" s="244"/>
      <c r="AA35" s="245"/>
      <c r="AB35" s="247"/>
      <c r="AC35" s="244"/>
      <c r="AD35" s="244"/>
      <c r="AE35" s="244"/>
      <c r="AF35" s="244"/>
      <c r="AG35" s="244"/>
      <c r="AH35" s="244"/>
      <c r="AI35" s="244"/>
      <c r="AJ35" s="245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1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1"/>
    </row>
    <row r="36" spans="8:60" ht="12.75">
      <c r="H36" s="675">
        <f>105291.657*H8</f>
        <v>105291.56195829809</v>
      </c>
      <c r="I36" s="318">
        <v>5</v>
      </c>
      <c r="J36" s="319">
        <v>3.5</v>
      </c>
      <c r="K36" s="320" t="s">
        <v>12</v>
      </c>
      <c r="L36" s="139"/>
      <c r="M36" s="144"/>
      <c r="N36" s="145"/>
      <c r="O36" s="146"/>
      <c r="P36" s="144"/>
      <c r="Q36" s="145"/>
      <c r="R36" s="145"/>
      <c r="S36" s="145">
        <v>12818.082</v>
      </c>
      <c r="T36" s="146"/>
      <c r="U36" s="247"/>
      <c r="V36" s="244"/>
      <c r="W36" s="244"/>
      <c r="X36" s="244"/>
      <c r="Y36" s="244"/>
      <c r="Z36" s="244"/>
      <c r="AA36" s="245"/>
      <c r="AB36" s="247"/>
      <c r="AC36" s="244"/>
      <c r="AD36" s="244"/>
      <c r="AE36" s="244"/>
      <c r="AF36" s="244"/>
      <c r="AG36" s="244"/>
      <c r="AH36" s="244"/>
      <c r="AI36" s="244"/>
      <c r="AJ36" s="245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1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1"/>
    </row>
    <row r="37" spans="8:60" ht="12.75">
      <c r="H37" s="675">
        <f>105291.653*H8</f>
        <v>105291.55795830171</v>
      </c>
      <c r="I37" s="318">
        <v>5</v>
      </c>
      <c r="J37" s="319">
        <v>3.5</v>
      </c>
      <c r="K37" s="319" t="s">
        <v>13</v>
      </c>
      <c r="L37" s="139"/>
      <c r="M37" s="144"/>
      <c r="N37" s="145"/>
      <c r="O37" s="146"/>
      <c r="P37" s="144"/>
      <c r="Q37" s="145"/>
      <c r="R37" s="145"/>
      <c r="S37" s="145"/>
      <c r="T37" s="146"/>
      <c r="U37" s="247"/>
      <c r="V37" s="244"/>
      <c r="W37" s="244"/>
      <c r="X37" s="244"/>
      <c r="Y37" s="244"/>
      <c r="Z37" s="244"/>
      <c r="AA37" s="245"/>
      <c r="AB37" s="247"/>
      <c r="AC37" s="244"/>
      <c r="AD37" s="244"/>
      <c r="AE37" s="244"/>
      <c r="AF37" s="244"/>
      <c r="AG37" s="244"/>
      <c r="AH37" s="244"/>
      <c r="AI37" s="244"/>
      <c r="AJ37" s="245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1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1"/>
    </row>
    <row r="38" spans="8:60" ht="12.75">
      <c r="H38" s="675">
        <f>105291.659*H8</f>
        <v>105291.56395829628</v>
      </c>
      <c r="I38" s="318">
        <v>5</v>
      </c>
      <c r="J38" s="319">
        <v>4.5</v>
      </c>
      <c r="K38" s="320" t="s">
        <v>14</v>
      </c>
      <c r="L38" s="139"/>
      <c r="M38" s="144"/>
      <c r="N38" s="145"/>
      <c r="O38" s="146"/>
      <c r="P38" s="144"/>
      <c r="Q38" s="145"/>
      <c r="R38" s="145"/>
      <c r="S38" s="145"/>
      <c r="T38" s="146"/>
      <c r="U38" s="247"/>
      <c r="V38" s="244"/>
      <c r="W38" s="244"/>
      <c r="X38" s="244"/>
      <c r="Y38" s="244"/>
      <c r="Z38" s="244">
        <v>40511.579</v>
      </c>
      <c r="AA38" s="245"/>
      <c r="AB38" s="247"/>
      <c r="AC38" s="244"/>
      <c r="AD38" s="244"/>
      <c r="AE38" s="244"/>
      <c r="AF38" s="244"/>
      <c r="AG38" s="244"/>
      <c r="AH38" s="244"/>
      <c r="AI38" s="244"/>
      <c r="AJ38" s="245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1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1"/>
    </row>
    <row r="39" spans="8:60" ht="12.75">
      <c r="H39" s="676">
        <f>105291.656*H8</f>
        <v>105291.56095829899</v>
      </c>
      <c r="I39" s="318">
        <v>5</v>
      </c>
      <c r="J39" s="322">
        <v>4.5</v>
      </c>
      <c r="K39" s="323" t="s">
        <v>15</v>
      </c>
      <c r="L39" s="162"/>
      <c r="M39" s="148"/>
      <c r="N39" s="149"/>
      <c r="O39" s="150"/>
      <c r="P39" s="148"/>
      <c r="Q39" s="149"/>
      <c r="R39" s="149"/>
      <c r="S39" s="149"/>
      <c r="T39" s="150"/>
      <c r="U39" s="272"/>
      <c r="V39" s="246"/>
      <c r="W39" s="246"/>
      <c r="X39" s="246"/>
      <c r="Y39" s="246"/>
      <c r="Z39" s="246"/>
      <c r="AA39" s="273"/>
      <c r="AB39" s="272"/>
      <c r="AC39" s="246"/>
      <c r="AD39" s="246"/>
      <c r="AE39" s="246"/>
      <c r="AF39" s="246"/>
      <c r="AG39" s="246"/>
      <c r="AH39" s="246"/>
      <c r="AI39" s="246"/>
      <c r="AJ39" s="273"/>
      <c r="AK39" s="274"/>
      <c r="AL39" s="270"/>
      <c r="AM39" s="270"/>
      <c r="AN39" s="270"/>
      <c r="AO39" s="270"/>
      <c r="AP39" s="270"/>
      <c r="AQ39" s="270"/>
      <c r="AR39" s="270"/>
      <c r="AS39" s="270"/>
      <c r="AT39" s="270"/>
      <c r="AU39" s="271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1"/>
    </row>
    <row r="40" spans="8:60" ht="12.75">
      <c r="H40" s="674">
        <f>106632.143*H8</f>
        <v>106632.046748306</v>
      </c>
      <c r="I40" s="317">
        <v>6</v>
      </c>
      <c r="J40" s="319">
        <v>0.5</v>
      </c>
      <c r="K40" s="320" t="s">
        <v>7</v>
      </c>
      <c r="L40" s="139"/>
      <c r="M40" s="144"/>
      <c r="N40" s="145">
        <v>4101.7662</v>
      </c>
      <c r="O40" s="146">
        <v>4101.7045</v>
      </c>
      <c r="P40" s="144"/>
      <c r="Q40" s="145">
        <v>10938.126</v>
      </c>
      <c r="R40" s="145">
        <v>10937.998</v>
      </c>
      <c r="S40" s="145"/>
      <c r="T40" s="146"/>
      <c r="U40" s="247"/>
      <c r="V40" s="244">
        <v>26251.57</v>
      </c>
      <c r="W40" s="244">
        <v>26251.27</v>
      </c>
      <c r="X40" s="244"/>
      <c r="Y40" s="244"/>
      <c r="Z40" s="244"/>
      <c r="AA40" s="245"/>
      <c r="AB40" s="247"/>
      <c r="AC40" s="244">
        <v>74578.8</v>
      </c>
      <c r="AD40" s="244"/>
      <c r="AE40" s="244"/>
      <c r="AF40" s="244"/>
      <c r="AG40" s="244"/>
      <c r="AH40" s="244"/>
      <c r="AI40" s="244"/>
      <c r="AJ40" s="245"/>
      <c r="AK40" s="267"/>
      <c r="AL40" s="268"/>
      <c r="AM40" s="268"/>
      <c r="AN40" s="268"/>
      <c r="AO40" s="268"/>
      <c r="AP40" s="268"/>
      <c r="AQ40" s="268"/>
      <c r="AR40" s="268"/>
      <c r="AS40" s="268"/>
      <c r="AT40" s="268"/>
      <c r="AU40" s="269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1"/>
    </row>
    <row r="41" spans="8:60" ht="12.75">
      <c r="H41" s="675">
        <f>106632.155*H8</f>
        <v>106632.05874829518</v>
      </c>
      <c r="I41" s="318">
        <v>6</v>
      </c>
      <c r="J41" s="319">
        <v>1.5</v>
      </c>
      <c r="K41" s="320" t="s">
        <v>8</v>
      </c>
      <c r="L41" s="139">
        <v>937.8034</v>
      </c>
      <c r="M41" s="144">
        <v>4101.7087</v>
      </c>
      <c r="N41" s="145"/>
      <c r="O41" s="146"/>
      <c r="P41" s="144">
        <v>10937.995</v>
      </c>
      <c r="Q41" s="145"/>
      <c r="R41" s="145"/>
      <c r="S41" s="145"/>
      <c r="T41" s="146"/>
      <c r="U41" s="247">
        <v>26251.21</v>
      </c>
      <c r="V41" s="244"/>
      <c r="W41" s="244"/>
      <c r="X41" s="244"/>
      <c r="Y41" s="244"/>
      <c r="Z41" s="244"/>
      <c r="AA41" s="245"/>
      <c r="AB41" s="247"/>
      <c r="AC41" s="244"/>
      <c r="AD41" s="244"/>
      <c r="AE41" s="244"/>
      <c r="AF41" s="244"/>
      <c r="AG41" s="244"/>
      <c r="AH41" s="244"/>
      <c r="AI41" s="244"/>
      <c r="AJ41" s="245"/>
      <c r="AK41" s="247"/>
      <c r="AL41" s="244"/>
      <c r="AM41" s="244"/>
      <c r="AN41" s="244"/>
      <c r="AO41" s="244"/>
      <c r="AP41" s="244"/>
      <c r="AQ41" s="244"/>
      <c r="AR41" s="244"/>
      <c r="AS41" s="244"/>
      <c r="AT41" s="244"/>
      <c r="AU41" s="245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1"/>
    </row>
    <row r="42" spans="8:60" ht="12.75">
      <c r="H42" s="675">
        <f>106632.141*H8</f>
        <v>106632.04474830782</v>
      </c>
      <c r="I42" s="318">
        <v>6</v>
      </c>
      <c r="J42" s="319">
        <v>1.5</v>
      </c>
      <c r="K42" s="320" t="s">
        <v>9</v>
      </c>
      <c r="L42" s="139">
        <v>937.8035</v>
      </c>
      <c r="M42" s="144">
        <v>4101.711</v>
      </c>
      <c r="N42" s="145"/>
      <c r="O42" s="146"/>
      <c r="P42" s="144">
        <v>10938.012</v>
      </c>
      <c r="Q42" s="145"/>
      <c r="R42" s="145"/>
      <c r="S42" s="145"/>
      <c r="T42" s="146"/>
      <c r="U42" s="247">
        <v>26251.31</v>
      </c>
      <c r="V42" s="244"/>
      <c r="W42" s="244"/>
      <c r="X42" s="244"/>
      <c r="Y42" s="244"/>
      <c r="Z42" s="244"/>
      <c r="AA42" s="245"/>
      <c r="AB42" s="247"/>
      <c r="AC42" s="244"/>
      <c r="AD42" s="244"/>
      <c r="AE42" s="244"/>
      <c r="AF42" s="244"/>
      <c r="AG42" s="244"/>
      <c r="AH42" s="244"/>
      <c r="AI42" s="244"/>
      <c r="AJ42" s="245"/>
      <c r="AK42" s="247"/>
      <c r="AL42" s="244"/>
      <c r="AM42" s="244"/>
      <c r="AN42" s="244"/>
      <c r="AO42" s="244"/>
      <c r="AP42" s="244"/>
      <c r="AQ42" s="244"/>
      <c r="AR42" s="244"/>
      <c r="AS42" s="244"/>
      <c r="AT42" s="244"/>
      <c r="AU42" s="245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1"/>
    </row>
    <row r="43" spans="8:60" ht="12.75">
      <c r="H43" s="675">
        <f>106632.159*H8</f>
        <v>106632.06274829157</v>
      </c>
      <c r="I43" s="318">
        <v>6</v>
      </c>
      <c r="J43" s="319">
        <v>2.5</v>
      </c>
      <c r="K43" s="320" t="s">
        <v>10</v>
      </c>
      <c r="L43" s="139"/>
      <c r="M43" s="144"/>
      <c r="N43" s="145">
        <v>4101.765</v>
      </c>
      <c r="O43" s="146"/>
      <c r="P43" s="144"/>
      <c r="Q43" s="145"/>
      <c r="R43" s="145"/>
      <c r="S43" s="145"/>
      <c r="T43" s="146"/>
      <c r="U43" s="247"/>
      <c r="V43" s="244"/>
      <c r="W43" s="244"/>
      <c r="X43" s="244"/>
      <c r="Y43" s="244"/>
      <c r="Z43" s="244"/>
      <c r="AA43" s="245"/>
      <c r="AB43" s="247"/>
      <c r="AC43" s="244"/>
      <c r="AD43" s="244"/>
      <c r="AE43" s="244"/>
      <c r="AF43" s="244"/>
      <c r="AG43" s="244"/>
      <c r="AH43" s="244"/>
      <c r="AI43" s="244"/>
      <c r="AJ43" s="245"/>
      <c r="AK43" s="247"/>
      <c r="AL43" s="244"/>
      <c r="AM43" s="244"/>
      <c r="AN43" s="244"/>
      <c r="AO43" s="244"/>
      <c r="AP43" s="244"/>
      <c r="AQ43" s="244"/>
      <c r="AR43" s="244"/>
      <c r="AS43" s="244"/>
      <c r="AT43" s="244"/>
      <c r="AU43" s="245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1"/>
    </row>
    <row r="44" spans="8:60" ht="12.75">
      <c r="H44" s="675">
        <f>106632.155*H8</f>
        <v>106632.05874829518</v>
      </c>
      <c r="I44" s="318">
        <v>6</v>
      </c>
      <c r="J44" s="319">
        <v>2.5</v>
      </c>
      <c r="K44" s="320" t="s">
        <v>11</v>
      </c>
      <c r="L44" s="139"/>
      <c r="M44" s="144"/>
      <c r="N44" s="145"/>
      <c r="O44" s="146">
        <v>4101.7025</v>
      </c>
      <c r="P44" s="144"/>
      <c r="Q44" s="145"/>
      <c r="R44" s="145"/>
      <c r="S44" s="145"/>
      <c r="T44" s="146"/>
      <c r="U44" s="247"/>
      <c r="V44" s="244"/>
      <c r="W44" s="244"/>
      <c r="X44" s="244"/>
      <c r="Y44" s="244"/>
      <c r="Z44" s="244"/>
      <c r="AA44" s="245"/>
      <c r="AB44" s="247"/>
      <c r="AC44" s="244"/>
      <c r="AD44" s="244"/>
      <c r="AE44" s="244"/>
      <c r="AF44" s="244"/>
      <c r="AG44" s="244"/>
      <c r="AH44" s="244"/>
      <c r="AI44" s="244"/>
      <c r="AJ44" s="245"/>
      <c r="AK44" s="247"/>
      <c r="AL44" s="244"/>
      <c r="AM44" s="244"/>
      <c r="AN44" s="244"/>
      <c r="AO44" s="244"/>
      <c r="AP44" s="244"/>
      <c r="AQ44" s="244"/>
      <c r="AR44" s="244"/>
      <c r="AS44" s="244"/>
      <c r="AT44" s="244"/>
      <c r="AU44" s="245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1"/>
    </row>
    <row r="45" spans="8:60" ht="12.75">
      <c r="H45" s="675">
        <f>106632.162*H8</f>
        <v>106632.06574828885</v>
      </c>
      <c r="I45" s="318">
        <v>6</v>
      </c>
      <c r="J45" s="319">
        <v>3.5</v>
      </c>
      <c r="K45" s="320" t="s">
        <v>12</v>
      </c>
      <c r="L45" s="139"/>
      <c r="M45" s="144"/>
      <c r="N45" s="145"/>
      <c r="O45" s="146"/>
      <c r="P45" s="144"/>
      <c r="Q45" s="145"/>
      <c r="R45" s="145"/>
      <c r="S45" s="145">
        <v>10938.095</v>
      </c>
      <c r="T45" s="146"/>
      <c r="U45" s="247"/>
      <c r="V45" s="244"/>
      <c r="W45" s="244"/>
      <c r="X45" s="244"/>
      <c r="Y45" s="244"/>
      <c r="Z45" s="244"/>
      <c r="AA45" s="245"/>
      <c r="AB45" s="247"/>
      <c r="AC45" s="244"/>
      <c r="AD45" s="244"/>
      <c r="AE45" s="244"/>
      <c r="AF45" s="244"/>
      <c r="AG45" s="244"/>
      <c r="AH45" s="244"/>
      <c r="AI45" s="244"/>
      <c r="AJ45" s="245"/>
      <c r="AK45" s="247"/>
      <c r="AL45" s="244"/>
      <c r="AM45" s="244"/>
      <c r="AN45" s="244"/>
      <c r="AO45" s="244"/>
      <c r="AP45" s="244"/>
      <c r="AQ45" s="244"/>
      <c r="AR45" s="244"/>
      <c r="AS45" s="244"/>
      <c r="AT45" s="244"/>
      <c r="AU45" s="245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1"/>
    </row>
    <row r="46" spans="8:60" ht="12.75">
      <c r="H46" s="675">
        <f>106632.159*H8</f>
        <v>106632.06274829157</v>
      </c>
      <c r="I46" s="318">
        <v>6</v>
      </c>
      <c r="J46" s="319">
        <v>3.5</v>
      </c>
      <c r="K46" s="319" t="s">
        <v>13</v>
      </c>
      <c r="L46" s="139"/>
      <c r="M46" s="144"/>
      <c r="N46" s="145"/>
      <c r="O46" s="146"/>
      <c r="P46" s="144"/>
      <c r="Q46" s="145"/>
      <c r="R46" s="145"/>
      <c r="S46" s="145"/>
      <c r="T46" s="146"/>
      <c r="U46" s="247"/>
      <c r="V46" s="244"/>
      <c r="W46" s="244"/>
      <c r="X46" s="244"/>
      <c r="Y46" s="244"/>
      <c r="Z46" s="244"/>
      <c r="AA46" s="245"/>
      <c r="AB46" s="247"/>
      <c r="AC46" s="244"/>
      <c r="AD46" s="244"/>
      <c r="AE46" s="244"/>
      <c r="AF46" s="244"/>
      <c r="AG46" s="244"/>
      <c r="AH46" s="244"/>
      <c r="AI46" s="244"/>
      <c r="AJ46" s="245"/>
      <c r="AK46" s="247"/>
      <c r="AL46" s="244"/>
      <c r="AM46" s="244"/>
      <c r="AN46" s="244"/>
      <c r="AO46" s="244"/>
      <c r="AP46" s="244"/>
      <c r="AQ46" s="244"/>
      <c r="AR46" s="244"/>
      <c r="AS46" s="244"/>
      <c r="AT46" s="244"/>
      <c r="AU46" s="245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1"/>
    </row>
    <row r="47" spans="8:60" ht="12.75">
      <c r="H47" s="675">
        <f>106632.163*H8</f>
        <v>106632.06674828795</v>
      </c>
      <c r="I47" s="318">
        <v>6</v>
      </c>
      <c r="J47" s="319">
        <v>4.5</v>
      </c>
      <c r="K47" s="320" t="s">
        <v>14</v>
      </c>
      <c r="L47" s="139"/>
      <c r="M47" s="144"/>
      <c r="N47" s="145"/>
      <c r="O47" s="146"/>
      <c r="P47" s="144"/>
      <c r="Q47" s="145"/>
      <c r="R47" s="145"/>
      <c r="S47" s="145"/>
      <c r="T47" s="146"/>
      <c r="U47" s="247"/>
      <c r="V47" s="244"/>
      <c r="W47" s="244"/>
      <c r="X47" s="244"/>
      <c r="Y47" s="244"/>
      <c r="Z47" s="244">
        <v>26251.512</v>
      </c>
      <c r="AA47" s="245"/>
      <c r="AB47" s="247"/>
      <c r="AC47" s="244"/>
      <c r="AD47" s="244"/>
      <c r="AE47" s="244"/>
      <c r="AF47" s="244"/>
      <c r="AG47" s="244"/>
      <c r="AH47" s="244"/>
      <c r="AI47" s="244"/>
      <c r="AJ47" s="245"/>
      <c r="AK47" s="247"/>
      <c r="AL47" s="244"/>
      <c r="AM47" s="244"/>
      <c r="AN47" s="244"/>
      <c r="AO47" s="244"/>
      <c r="AP47" s="244"/>
      <c r="AQ47" s="244"/>
      <c r="AR47" s="244"/>
      <c r="AS47" s="244"/>
      <c r="AT47" s="244"/>
      <c r="AU47" s="245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1"/>
    </row>
    <row r="48" spans="8:60" ht="12.75">
      <c r="H48" s="675">
        <f>106632.161*H8</f>
        <v>106632.06474828975</v>
      </c>
      <c r="I48" s="318">
        <v>6</v>
      </c>
      <c r="J48" s="319">
        <v>4.5</v>
      </c>
      <c r="K48" s="320" t="s">
        <v>15</v>
      </c>
      <c r="L48" s="139"/>
      <c r="M48" s="144"/>
      <c r="N48" s="145"/>
      <c r="O48" s="146"/>
      <c r="P48" s="144"/>
      <c r="Q48" s="145"/>
      <c r="R48" s="145"/>
      <c r="S48" s="145"/>
      <c r="T48" s="146"/>
      <c r="U48" s="247"/>
      <c r="V48" s="244"/>
      <c r="W48" s="244"/>
      <c r="X48" s="244"/>
      <c r="Y48" s="244"/>
      <c r="Z48" s="244"/>
      <c r="AA48" s="245"/>
      <c r="AB48" s="247"/>
      <c r="AC48" s="244"/>
      <c r="AD48" s="244"/>
      <c r="AE48" s="244"/>
      <c r="AF48" s="244"/>
      <c r="AG48" s="244"/>
      <c r="AH48" s="244"/>
      <c r="AI48" s="244"/>
      <c r="AJ48" s="245"/>
      <c r="AK48" s="247"/>
      <c r="AL48" s="244"/>
      <c r="AM48" s="244"/>
      <c r="AN48" s="244"/>
      <c r="AO48" s="244"/>
      <c r="AP48" s="244"/>
      <c r="AQ48" s="244"/>
      <c r="AR48" s="244"/>
      <c r="AS48" s="244"/>
      <c r="AT48" s="244"/>
      <c r="AU48" s="245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1"/>
    </row>
    <row r="49" spans="8:60" ht="12.75">
      <c r="H49" s="675">
        <f>106632.164*H8</f>
        <v>106632.06774828705</v>
      </c>
      <c r="I49" s="318">
        <v>6</v>
      </c>
      <c r="J49" s="319">
        <v>5.5</v>
      </c>
      <c r="K49" s="320" t="s">
        <v>16</v>
      </c>
      <c r="L49" s="139"/>
      <c r="M49" s="144"/>
      <c r="N49" s="145"/>
      <c r="O49" s="146"/>
      <c r="P49" s="144"/>
      <c r="Q49" s="145"/>
      <c r="R49" s="145"/>
      <c r="S49" s="145"/>
      <c r="T49" s="146"/>
      <c r="U49" s="247"/>
      <c r="V49" s="244"/>
      <c r="W49" s="244"/>
      <c r="X49" s="244"/>
      <c r="Y49" s="244"/>
      <c r="Z49" s="244"/>
      <c r="AA49" s="245"/>
      <c r="AB49" s="247"/>
      <c r="AC49" s="244"/>
      <c r="AD49" s="244"/>
      <c r="AE49" s="244"/>
      <c r="AF49" s="244"/>
      <c r="AG49" s="244"/>
      <c r="AH49" s="244"/>
      <c r="AI49" s="244">
        <v>74578.25</v>
      </c>
      <c r="AJ49" s="245"/>
      <c r="AK49" s="247"/>
      <c r="AL49" s="244"/>
      <c r="AM49" s="244"/>
      <c r="AN49" s="244"/>
      <c r="AO49" s="244"/>
      <c r="AP49" s="244"/>
      <c r="AQ49" s="244"/>
      <c r="AR49" s="244"/>
      <c r="AS49" s="244"/>
      <c r="AT49" s="244"/>
      <c r="AU49" s="245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1"/>
    </row>
    <row r="50" spans="1:60" ht="12.75">
      <c r="A50" s="359"/>
      <c r="B50" s="359"/>
      <c r="H50" s="676">
        <f>106632.163*H8</f>
        <v>106632.06674828795</v>
      </c>
      <c r="I50" s="321">
        <v>6</v>
      </c>
      <c r="J50" s="322">
        <v>5.5</v>
      </c>
      <c r="K50" s="323" t="s">
        <v>17</v>
      </c>
      <c r="L50" s="162"/>
      <c r="M50" s="148"/>
      <c r="N50" s="149"/>
      <c r="O50" s="150"/>
      <c r="P50" s="148"/>
      <c r="Q50" s="149"/>
      <c r="R50" s="149"/>
      <c r="S50" s="149"/>
      <c r="T50" s="150"/>
      <c r="U50" s="272"/>
      <c r="V50" s="246"/>
      <c r="W50" s="246"/>
      <c r="X50" s="246"/>
      <c r="Y50" s="246"/>
      <c r="Z50" s="246"/>
      <c r="AA50" s="273"/>
      <c r="AB50" s="272"/>
      <c r="AC50" s="246"/>
      <c r="AD50" s="246"/>
      <c r="AE50" s="246"/>
      <c r="AF50" s="246"/>
      <c r="AG50" s="246"/>
      <c r="AH50" s="246"/>
      <c r="AI50" s="246"/>
      <c r="AJ50" s="273"/>
      <c r="AK50" s="272"/>
      <c r="AL50" s="246"/>
      <c r="AM50" s="246"/>
      <c r="AN50" s="246"/>
      <c r="AO50" s="246"/>
      <c r="AP50" s="246"/>
      <c r="AQ50" s="246"/>
      <c r="AR50" s="246"/>
      <c r="AS50" s="246"/>
      <c r="AT50" s="246"/>
      <c r="AU50" s="273"/>
      <c r="AV50" s="275"/>
      <c r="AW50" s="270"/>
      <c r="AX50" s="270"/>
      <c r="AY50" s="270"/>
      <c r="AZ50" s="270"/>
      <c r="BA50" s="270"/>
      <c r="BB50" s="270"/>
      <c r="BC50" s="270"/>
      <c r="BD50" s="270"/>
      <c r="BE50" s="270"/>
      <c r="BF50" s="276"/>
      <c r="BG50" s="276"/>
      <c r="BH50" s="271"/>
    </row>
    <row r="51" spans="1:60" ht="12.75">
      <c r="A51" s="360"/>
      <c r="B51" s="360"/>
      <c r="H51" s="674">
        <f>107440.432*H8</f>
        <v>107440.3350187025</v>
      </c>
      <c r="I51" s="317">
        <v>7</v>
      </c>
      <c r="J51" s="319">
        <v>0.5</v>
      </c>
      <c r="K51" s="320" t="s">
        <v>7</v>
      </c>
      <c r="L51" s="139"/>
      <c r="M51" s="144"/>
      <c r="N51" s="145"/>
      <c r="O51" s="145"/>
      <c r="P51" s="144"/>
      <c r="Q51" s="145"/>
      <c r="R51" s="145"/>
      <c r="S51" s="145"/>
      <c r="T51" s="146"/>
      <c r="U51" s="247"/>
      <c r="V51" s="244"/>
      <c r="W51" s="244"/>
      <c r="X51" s="244"/>
      <c r="Y51" s="244"/>
      <c r="Z51" s="244"/>
      <c r="AA51" s="245"/>
      <c r="AB51" s="247"/>
      <c r="AC51" s="244"/>
      <c r="AD51" s="244"/>
      <c r="AE51" s="244"/>
      <c r="AF51" s="244"/>
      <c r="AG51" s="244"/>
      <c r="AH51" s="244"/>
      <c r="AI51" s="244"/>
      <c r="AJ51" s="245"/>
      <c r="AK51" s="247"/>
      <c r="AL51" s="244"/>
      <c r="AM51" s="244"/>
      <c r="AN51" s="244"/>
      <c r="AO51" s="244"/>
      <c r="AP51" s="244"/>
      <c r="AQ51" s="244"/>
      <c r="AR51" s="244"/>
      <c r="AS51" s="244"/>
      <c r="AT51" s="244"/>
      <c r="AU51" s="245"/>
      <c r="AV51" s="248"/>
      <c r="AW51" s="268"/>
      <c r="AX51" s="268"/>
      <c r="AY51" s="268"/>
      <c r="AZ51" s="268"/>
      <c r="BA51" s="268"/>
      <c r="BB51" s="268"/>
      <c r="BC51" s="268"/>
      <c r="BD51" s="268"/>
      <c r="BE51" s="268"/>
      <c r="BF51" s="244"/>
      <c r="BG51" s="244"/>
      <c r="BH51" s="269"/>
    </row>
    <row r="52" spans="8:60" ht="12.75">
      <c r="H52" s="675">
        <f>107440.432*H8</f>
        <v>107440.3350187025</v>
      </c>
      <c r="I52" s="318">
        <v>7</v>
      </c>
      <c r="J52" s="319">
        <v>1.5</v>
      </c>
      <c r="K52" s="320" t="s">
        <v>8</v>
      </c>
      <c r="L52" s="139">
        <v>930.7483</v>
      </c>
      <c r="M52" s="145"/>
      <c r="N52" s="145"/>
      <c r="O52" s="146"/>
      <c r="P52" s="144"/>
      <c r="Q52" s="145"/>
      <c r="R52" s="145"/>
      <c r="S52" s="145"/>
      <c r="T52" s="146"/>
      <c r="U52" s="247"/>
      <c r="V52" s="244"/>
      <c r="W52" s="244"/>
      <c r="X52" s="244"/>
      <c r="Y52" s="244"/>
      <c r="Z52" s="244"/>
      <c r="AA52" s="245"/>
      <c r="AB52" s="247"/>
      <c r="AC52" s="244"/>
      <c r="AD52" s="244"/>
      <c r="AE52" s="244"/>
      <c r="AF52" s="244"/>
      <c r="AG52" s="244"/>
      <c r="AH52" s="244"/>
      <c r="AI52" s="244"/>
      <c r="AJ52" s="245"/>
      <c r="AK52" s="247"/>
      <c r="AL52" s="244"/>
      <c r="AM52" s="244"/>
      <c r="AN52" s="244"/>
      <c r="AO52" s="244"/>
      <c r="AP52" s="244"/>
      <c r="AQ52" s="244"/>
      <c r="AR52" s="244"/>
      <c r="AS52" s="244"/>
      <c r="AT52" s="244"/>
      <c r="AU52" s="245"/>
      <c r="AV52" s="248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5"/>
    </row>
    <row r="53" spans="8:60" ht="12.75">
      <c r="H53" s="675">
        <f>107440.431*H8</f>
        <v>107440.3340187034</v>
      </c>
      <c r="I53" s="318">
        <v>7</v>
      </c>
      <c r="J53" s="319">
        <v>1.5</v>
      </c>
      <c r="K53" s="320" t="s">
        <v>9</v>
      </c>
      <c r="L53" s="139">
        <v>930.7483</v>
      </c>
      <c r="M53" s="145"/>
      <c r="N53" s="145"/>
      <c r="O53" s="146"/>
      <c r="P53" s="144"/>
      <c r="Q53" s="145"/>
      <c r="R53" s="145"/>
      <c r="S53" s="145"/>
      <c r="T53" s="146"/>
      <c r="U53" s="247"/>
      <c r="V53" s="244"/>
      <c r="W53" s="244"/>
      <c r="X53" s="244"/>
      <c r="Y53" s="244"/>
      <c r="Z53" s="244"/>
      <c r="AA53" s="245"/>
      <c r="AB53" s="247"/>
      <c r="AC53" s="244"/>
      <c r="AD53" s="244"/>
      <c r="AE53" s="244"/>
      <c r="AF53" s="244"/>
      <c r="AG53" s="244"/>
      <c r="AH53" s="244"/>
      <c r="AI53" s="244"/>
      <c r="AJ53" s="245"/>
      <c r="AK53" s="247"/>
      <c r="AL53" s="244"/>
      <c r="AM53" s="244"/>
      <c r="AN53" s="244"/>
      <c r="AO53" s="244"/>
      <c r="AP53" s="244"/>
      <c r="AQ53" s="244"/>
      <c r="AR53" s="244"/>
      <c r="AS53" s="244"/>
      <c r="AT53" s="244"/>
      <c r="AU53" s="245"/>
      <c r="AV53" s="248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5"/>
    </row>
    <row r="54" spans="8:60" ht="12.75">
      <c r="H54" s="675">
        <f>107440.435*H8</f>
        <v>107440.3380186998</v>
      </c>
      <c r="I54" s="318">
        <v>7</v>
      </c>
      <c r="J54" s="319">
        <v>2.5</v>
      </c>
      <c r="K54" s="320" t="s">
        <v>10</v>
      </c>
      <c r="L54" s="139"/>
      <c r="M54" s="144"/>
      <c r="N54" s="145">
        <v>3970.072</v>
      </c>
      <c r="O54" s="146"/>
      <c r="P54" s="144"/>
      <c r="Q54" s="145"/>
      <c r="R54" s="145"/>
      <c r="S54" s="145"/>
      <c r="T54" s="146"/>
      <c r="U54" s="247"/>
      <c r="V54" s="244"/>
      <c r="W54" s="244"/>
      <c r="X54" s="244"/>
      <c r="Y54" s="244"/>
      <c r="Z54" s="244"/>
      <c r="AA54" s="245"/>
      <c r="AB54" s="247"/>
      <c r="AC54" s="244"/>
      <c r="AD54" s="244"/>
      <c r="AE54" s="244"/>
      <c r="AF54" s="244"/>
      <c r="AG54" s="244"/>
      <c r="AH54" s="244"/>
      <c r="AI54" s="244"/>
      <c r="AJ54" s="245"/>
      <c r="AK54" s="247"/>
      <c r="AL54" s="244"/>
      <c r="AM54" s="244"/>
      <c r="AN54" s="244"/>
      <c r="AO54" s="244"/>
      <c r="AP54" s="244"/>
      <c r="AQ54" s="244"/>
      <c r="AR54" s="244"/>
      <c r="AS54" s="244"/>
      <c r="AT54" s="244"/>
      <c r="AU54" s="245"/>
      <c r="AV54" s="248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5"/>
    </row>
    <row r="55" spans="8:60" ht="12.75">
      <c r="H55" s="675">
        <f>107440.434*H8</f>
        <v>107440.3370187007</v>
      </c>
      <c r="I55" s="318">
        <v>7</v>
      </c>
      <c r="J55" s="319">
        <v>2.5</v>
      </c>
      <c r="K55" s="320" t="s">
        <v>11</v>
      </c>
      <c r="L55" s="139"/>
      <c r="M55" s="144"/>
      <c r="N55" s="145"/>
      <c r="O55" s="145"/>
      <c r="P55" s="144"/>
      <c r="Q55" s="145"/>
      <c r="R55" s="145"/>
      <c r="S55" s="145"/>
      <c r="T55" s="146"/>
      <c r="U55" s="247"/>
      <c r="V55" s="244"/>
      <c r="W55" s="244"/>
      <c r="X55" s="244"/>
      <c r="Y55" s="244"/>
      <c r="Z55" s="244"/>
      <c r="AA55" s="245"/>
      <c r="AB55" s="247"/>
      <c r="AC55" s="244"/>
      <c r="AD55" s="244"/>
      <c r="AE55" s="244"/>
      <c r="AF55" s="244"/>
      <c r="AG55" s="244"/>
      <c r="AH55" s="244"/>
      <c r="AI55" s="244"/>
      <c r="AJ55" s="245"/>
      <c r="AK55" s="247"/>
      <c r="AL55" s="244"/>
      <c r="AM55" s="244"/>
      <c r="AN55" s="244"/>
      <c r="AO55" s="244"/>
      <c r="AP55" s="244"/>
      <c r="AQ55" s="244"/>
      <c r="AR55" s="244"/>
      <c r="AS55" s="244"/>
      <c r="AT55" s="244"/>
      <c r="AU55" s="245"/>
      <c r="AV55" s="248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5"/>
    </row>
    <row r="56" spans="8:60" ht="12.75">
      <c r="H56" s="675">
        <f>107440.438*H8</f>
        <v>107440.34101869709</v>
      </c>
      <c r="I56" s="318">
        <v>7</v>
      </c>
      <c r="J56" s="319">
        <v>3.5</v>
      </c>
      <c r="K56" s="320" t="s">
        <v>12</v>
      </c>
      <c r="L56" s="139"/>
      <c r="M56" s="144"/>
      <c r="N56" s="145"/>
      <c r="O56" s="146"/>
      <c r="P56" s="144"/>
      <c r="Q56" s="145"/>
      <c r="R56" s="145"/>
      <c r="S56" s="145">
        <v>10049.374</v>
      </c>
      <c r="T56" s="146"/>
      <c r="U56" s="247"/>
      <c r="V56" s="244"/>
      <c r="W56" s="244"/>
      <c r="X56" s="244"/>
      <c r="Y56" s="244"/>
      <c r="Z56" s="244"/>
      <c r="AA56" s="245"/>
      <c r="AB56" s="247"/>
      <c r="AC56" s="244"/>
      <c r="AD56" s="244"/>
      <c r="AE56" s="244"/>
      <c r="AF56" s="244"/>
      <c r="AG56" s="244"/>
      <c r="AH56" s="244"/>
      <c r="AI56" s="244"/>
      <c r="AJ56" s="245"/>
      <c r="AK56" s="247"/>
      <c r="AL56" s="244"/>
      <c r="AM56" s="244"/>
      <c r="AN56" s="244"/>
      <c r="AO56" s="244"/>
      <c r="AP56" s="244"/>
      <c r="AQ56" s="244"/>
      <c r="AR56" s="244"/>
      <c r="AS56" s="244"/>
      <c r="AT56" s="244"/>
      <c r="AU56" s="245"/>
      <c r="AV56" s="248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5"/>
    </row>
    <row r="57" spans="8:60" ht="12.75">
      <c r="H57" s="675">
        <f>107440.437*H8</f>
        <v>107440.340018698</v>
      </c>
      <c r="I57" s="318">
        <v>7</v>
      </c>
      <c r="J57" s="319">
        <v>3.5</v>
      </c>
      <c r="K57" s="319" t="s">
        <v>13</v>
      </c>
      <c r="L57" s="139"/>
      <c r="M57" s="144"/>
      <c r="N57" s="145"/>
      <c r="O57" s="146"/>
      <c r="P57" s="144"/>
      <c r="Q57" s="145"/>
      <c r="R57" s="145"/>
      <c r="S57" s="145"/>
      <c r="T57" s="146"/>
      <c r="U57" s="247"/>
      <c r="V57" s="244"/>
      <c r="W57" s="244"/>
      <c r="X57" s="244"/>
      <c r="Y57" s="244"/>
      <c r="Z57" s="244"/>
      <c r="AA57" s="245"/>
      <c r="AB57" s="247"/>
      <c r="AC57" s="244"/>
      <c r="AD57" s="244"/>
      <c r="AE57" s="244"/>
      <c r="AF57" s="244"/>
      <c r="AG57" s="244"/>
      <c r="AH57" s="244"/>
      <c r="AI57" s="244"/>
      <c r="AJ57" s="245"/>
      <c r="AK57" s="247"/>
      <c r="AL57" s="244"/>
      <c r="AM57" s="244"/>
      <c r="AN57" s="244"/>
      <c r="AO57" s="244"/>
      <c r="AP57" s="244"/>
      <c r="AQ57" s="244"/>
      <c r="AR57" s="244"/>
      <c r="AS57" s="244"/>
      <c r="AT57" s="244"/>
      <c r="AU57" s="245"/>
      <c r="AV57" s="248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5"/>
    </row>
    <row r="58" spans="8:60" ht="12.75">
      <c r="H58" s="675">
        <f>107440.441*H8</f>
        <v>107440.34401869439</v>
      </c>
      <c r="I58" s="318">
        <v>7</v>
      </c>
      <c r="J58" s="319">
        <v>4.5</v>
      </c>
      <c r="K58" s="319" t="s">
        <v>14</v>
      </c>
      <c r="L58" s="139"/>
      <c r="M58" s="144"/>
      <c r="N58" s="145"/>
      <c r="O58" s="146"/>
      <c r="P58" s="144"/>
      <c r="Q58" s="145"/>
      <c r="R58" s="145"/>
      <c r="S58" s="145"/>
      <c r="T58" s="146"/>
      <c r="U58" s="247"/>
      <c r="V58" s="244"/>
      <c r="W58" s="244"/>
      <c r="X58" s="244"/>
      <c r="Y58" s="244"/>
      <c r="Z58" s="244">
        <v>21655.287</v>
      </c>
      <c r="AA58" s="245"/>
      <c r="AB58" s="247"/>
      <c r="AC58" s="244"/>
      <c r="AD58" s="244"/>
      <c r="AE58" s="244"/>
      <c r="AF58" s="244"/>
      <c r="AG58" s="244"/>
      <c r="AH58" s="244"/>
      <c r="AI58" s="244"/>
      <c r="AJ58" s="245"/>
      <c r="AK58" s="247"/>
      <c r="AL58" s="244"/>
      <c r="AM58" s="244"/>
      <c r="AN58" s="244"/>
      <c r="AO58" s="244"/>
      <c r="AP58" s="244"/>
      <c r="AQ58" s="244"/>
      <c r="AR58" s="244"/>
      <c r="AS58" s="244"/>
      <c r="AT58" s="244"/>
      <c r="AU58" s="245"/>
      <c r="AV58" s="248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5"/>
    </row>
    <row r="59" spans="8:60" ht="12.75">
      <c r="H59" s="675">
        <f>107440.44*H8</f>
        <v>107440.34301869529</v>
      </c>
      <c r="I59" s="318">
        <v>7</v>
      </c>
      <c r="J59" s="319">
        <v>4.5</v>
      </c>
      <c r="K59" s="319" t="s">
        <v>15</v>
      </c>
      <c r="L59" s="139"/>
      <c r="M59" s="144"/>
      <c r="N59" s="145"/>
      <c r="O59" s="146"/>
      <c r="P59" s="144"/>
      <c r="Q59" s="145"/>
      <c r="R59" s="145"/>
      <c r="S59" s="145"/>
      <c r="T59" s="146"/>
      <c r="U59" s="247"/>
      <c r="V59" s="244"/>
      <c r="W59" s="244"/>
      <c r="X59" s="244"/>
      <c r="Y59" s="244"/>
      <c r="Z59" s="244"/>
      <c r="AA59" s="245"/>
      <c r="AB59" s="247"/>
      <c r="AC59" s="244"/>
      <c r="AD59" s="244"/>
      <c r="AE59" s="244"/>
      <c r="AF59" s="244"/>
      <c r="AG59" s="244"/>
      <c r="AH59" s="244"/>
      <c r="AI59" s="244"/>
      <c r="AJ59" s="245"/>
      <c r="AK59" s="247"/>
      <c r="AL59" s="244"/>
      <c r="AM59" s="244"/>
      <c r="AN59" s="244"/>
      <c r="AO59" s="244"/>
      <c r="AP59" s="244"/>
      <c r="AQ59" s="244"/>
      <c r="AR59" s="244"/>
      <c r="AS59" s="244"/>
      <c r="AT59" s="244"/>
      <c r="AU59" s="245"/>
      <c r="AV59" s="248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5"/>
    </row>
    <row r="60" spans="8:60" ht="12.75">
      <c r="H60" s="675">
        <f>107440.444*H8</f>
        <v>107440.34701869167</v>
      </c>
      <c r="I60" s="318">
        <v>7</v>
      </c>
      <c r="J60" s="319">
        <v>5.5</v>
      </c>
      <c r="K60" s="319" t="s">
        <v>16</v>
      </c>
      <c r="L60" s="139"/>
      <c r="M60" s="144"/>
      <c r="N60" s="145"/>
      <c r="O60" s="146"/>
      <c r="P60" s="144"/>
      <c r="Q60" s="145"/>
      <c r="R60" s="145"/>
      <c r="S60" s="145"/>
      <c r="T60" s="146"/>
      <c r="U60" s="247"/>
      <c r="V60" s="244"/>
      <c r="W60" s="244"/>
      <c r="X60" s="244"/>
      <c r="Y60" s="244"/>
      <c r="Z60" s="244"/>
      <c r="AA60" s="245"/>
      <c r="AB60" s="247"/>
      <c r="AC60" s="244"/>
      <c r="AD60" s="244"/>
      <c r="AE60" s="244"/>
      <c r="AF60" s="244"/>
      <c r="AG60" s="244"/>
      <c r="AH60" s="244"/>
      <c r="AI60" s="244">
        <v>46525.098</v>
      </c>
      <c r="AJ60" s="245"/>
      <c r="AK60" s="247"/>
      <c r="AL60" s="244"/>
      <c r="AM60" s="244"/>
      <c r="AN60" s="244"/>
      <c r="AO60" s="244"/>
      <c r="AP60" s="244"/>
      <c r="AQ60" s="244"/>
      <c r="AR60" s="244"/>
      <c r="AS60" s="244"/>
      <c r="AT60" s="244"/>
      <c r="AU60" s="245"/>
      <c r="AV60" s="248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5"/>
    </row>
    <row r="61" spans="8:60" ht="12.75">
      <c r="H61" s="675">
        <f>107440.443*H8</f>
        <v>107440.34601869257</v>
      </c>
      <c r="I61" s="318">
        <v>7</v>
      </c>
      <c r="J61" s="319">
        <v>5.5</v>
      </c>
      <c r="K61" s="319" t="s">
        <v>17</v>
      </c>
      <c r="L61" s="139"/>
      <c r="M61" s="144"/>
      <c r="N61" s="145"/>
      <c r="O61" s="146"/>
      <c r="P61" s="144"/>
      <c r="Q61" s="145"/>
      <c r="R61" s="145"/>
      <c r="S61" s="145"/>
      <c r="T61" s="146"/>
      <c r="U61" s="247"/>
      <c r="V61" s="244"/>
      <c r="W61" s="244"/>
      <c r="X61" s="244"/>
      <c r="Y61" s="244"/>
      <c r="Z61" s="244"/>
      <c r="AA61" s="245"/>
      <c r="AB61" s="247"/>
      <c r="AC61" s="244"/>
      <c r="AD61" s="244"/>
      <c r="AE61" s="244"/>
      <c r="AF61" s="244"/>
      <c r="AG61" s="244"/>
      <c r="AH61" s="244"/>
      <c r="AI61" s="244"/>
      <c r="AJ61" s="245"/>
      <c r="AK61" s="247"/>
      <c r="AL61" s="244"/>
      <c r="AM61" s="244"/>
      <c r="AN61" s="244"/>
      <c r="AO61" s="244"/>
      <c r="AP61" s="244"/>
      <c r="AQ61" s="244"/>
      <c r="AR61" s="244"/>
      <c r="AS61" s="244"/>
      <c r="AT61" s="244"/>
      <c r="AU61" s="245"/>
      <c r="AV61" s="248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5"/>
    </row>
    <row r="62" spans="8:60" ht="12.75">
      <c r="H62" s="675">
        <f>107440.446*H8</f>
        <v>107440.34901868986</v>
      </c>
      <c r="I62" s="318">
        <v>7</v>
      </c>
      <c r="J62" s="319">
        <v>6.5</v>
      </c>
      <c r="K62" s="320" t="s">
        <v>18</v>
      </c>
      <c r="L62" s="139"/>
      <c r="M62" s="144"/>
      <c r="N62" s="145"/>
      <c r="O62" s="146"/>
      <c r="P62" s="144"/>
      <c r="Q62" s="145"/>
      <c r="R62" s="145"/>
      <c r="S62" s="145"/>
      <c r="T62" s="146"/>
      <c r="U62" s="247"/>
      <c r="V62" s="244"/>
      <c r="W62" s="244"/>
      <c r="X62" s="244"/>
      <c r="Y62" s="244"/>
      <c r="Z62" s="244"/>
      <c r="AA62" s="245"/>
      <c r="AB62" s="247"/>
      <c r="AC62" s="244"/>
      <c r="AD62" s="244"/>
      <c r="AE62" s="244"/>
      <c r="AF62" s="244"/>
      <c r="AG62" s="244"/>
      <c r="AH62" s="244"/>
      <c r="AI62" s="244"/>
      <c r="AJ62" s="245"/>
      <c r="AK62" s="247"/>
      <c r="AL62" s="244"/>
      <c r="AM62" s="244"/>
      <c r="AN62" s="244"/>
      <c r="AO62" s="244"/>
      <c r="AP62" s="244"/>
      <c r="AQ62" s="244"/>
      <c r="AR62" s="244"/>
      <c r="AS62" s="244"/>
      <c r="AT62" s="244">
        <v>123685.27</v>
      </c>
      <c r="AU62" s="245"/>
      <c r="AV62" s="248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5"/>
    </row>
    <row r="63" spans="8:60" ht="12.75">
      <c r="H63" s="676">
        <f>107440.446*H8</f>
        <v>107440.34901868986</v>
      </c>
      <c r="I63" s="321">
        <v>7</v>
      </c>
      <c r="J63" s="322">
        <v>6.5</v>
      </c>
      <c r="K63" s="323" t="s">
        <v>19</v>
      </c>
      <c r="L63" s="162"/>
      <c r="M63" s="148"/>
      <c r="N63" s="149"/>
      <c r="O63" s="150"/>
      <c r="P63" s="148"/>
      <c r="Q63" s="149"/>
      <c r="R63" s="149"/>
      <c r="S63" s="149"/>
      <c r="T63" s="150"/>
      <c r="U63" s="272"/>
      <c r="V63" s="246"/>
      <c r="W63" s="246"/>
      <c r="X63" s="246"/>
      <c r="Y63" s="246"/>
      <c r="Z63" s="246"/>
      <c r="AA63" s="273"/>
      <c r="AB63" s="272"/>
      <c r="AC63" s="246"/>
      <c r="AD63" s="246"/>
      <c r="AE63" s="246"/>
      <c r="AF63" s="246"/>
      <c r="AG63" s="246"/>
      <c r="AH63" s="246"/>
      <c r="AI63" s="246"/>
      <c r="AJ63" s="273"/>
      <c r="AK63" s="272"/>
      <c r="AL63" s="246"/>
      <c r="AM63" s="246"/>
      <c r="AN63" s="246"/>
      <c r="AO63" s="246"/>
      <c r="AP63" s="246"/>
      <c r="AQ63" s="246"/>
      <c r="AR63" s="246"/>
      <c r="AS63" s="246"/>
      <c r="AT63" s="246"/>
      <c r="AU63" s="273"/>
      <c r="AV63" s="272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73"/>
    </row>
    <row r="64" spans="8:60" ht="12.75">
      <c r="H64" s="674">
        <f>107965.042*H8</f>
        <v>107964.94454516235</v>
      </c>
      <c r="I64" s="317">
        <v>8</v>
      </c>
      <c r="J64" s="319">
        <v>0.5</v>
      </c>
      <c r="K64" s="315" t="s">
        <v>7</v>
      </c>
      <c r="L64" s="139"/>
      <c r="M64" s="144"/>
      <c r="N64" s="145"/>
      <c r="O64" s="145"/>
      <c r="P64" s="144"/>
      <c r="Q64" s="145"/>
      <c r="R64" s="145"/>
      <c r="S64" s="145"/>
      <c r="T64" s="146"/>
      <c r="U64" s="247"/>
      <c r="V64" s="244"/>
      <c r="W64" s="244"/>
      <c r="X64" s="244"/>
      <c r="Y64" s="244"/>
      <c r="Z64" s="244"/>
      <c r="AA64" s="245"/>
      <c r="AB64" s="247"/>
      <c r="AC64" s="244"/>
      <c r="AD64" s="244"/>
      <c r="AE64" s="244"/>
      <c r="AF64" s="244"/>
      <c r="AG64" s="244"/>
      <c r="AH64" s="244"/>
      <c r="AI64" s="244"/>
      <c r="AJ64" s="245"/>
      <c r="AK64" s="247"/>
      <c r="AL64" s="244"/>
      <c r="AM64" s="244"/>
      <c r="AN64" s="244"/>
      <c r="AO64" s="244"/>
      <c r="AP64" s="244"/>
      <c r="AQ64" s="244"/>
      <c r="AR64" s="244"/>
      <c r="AS64" s="244"/>
      <c r="AT64" s="244"/>
      <c r="AU64" s="245"/>
      <c r="AV64" s="248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5"/>
    </row>
    <row r="65" spans="8:60" ht="12.75">
      <c r="H65" s="675">
        <f>107965.043*H8</f>
        <v>107964.94554516145</v>
      </c>
      <c r="I65" s="318">
        <v>8</v>
      </c>
      <c r="J65" s="319">
        <v>1.5</v>
      </c>
      <c r="K65" s="319" t="s">
        <v>8</v>
      </c>
      <c r="L65" s="139">
        <v>926.2257</v>
      </c>
      <c r="M65" s="145"/>
      <c r="N65" s="145"/>
      <c r="O65" s="146"/>
      <c r="P65" s="144"/>
      <c r="Q65" s="145"/>
      <c r="R65" s="145"/>
      <c r="S65" s="145"/>
      <c r="T65" s="146"/>
      <c r="U65" s="247"/>
      <c r="V65" s="244"/>
      <c r="W65" s="244"/>
      <c r="X65" s="244"/>
      <c r="Y65" s="244"/>
      <c r="Z65" s="244"/>
      <c r="AA65" s="245"/>
      <c r="AB65" s="247"/>
      <c r="AC65" s="244"/>
      <c r="AD65" s="244"/>
      <c r="AE65" s="244"/>
      <c r="AF65" s="244"/>
      <c r="AG65" s="244"/>
      <c r="AH65" s="244"/>
      <c r="AI65" s="244"/>
      <c r="AJ65" s="245"/>
      <c r="AK65" s="247"/>
      <c r="AL65" s="244"/>
      <c r="AM65" s="244"/>
      <c r="AN65" s="244"/>
      <c r="AO65" s="244"/>
      <c r="AP65" s="244"/>
      <c r="AQ65" s="244"/>
      <c r="AR65" s="244"/>
      <c r="AS65" s="244"/>
      <c r="AT65" s="244"/>
      <c r="AU65" s="245"/>
      <c r="AV65" s="248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5"/>
    </row>
    <row r="66" spans="8:60" ht="12.75">
      <c r="H66" s="675">
        <f>107965.042*H8</f>
        <v>107964.94454516235</v>
      </c>
      <c r="I66" s="318">
        <v>8</v>
      </c>
      <c r="J66" s="319">
        <v>1.5</v>
      </c>
      <c r="K66" s="319" t="s">
        <v>9</v>
      </c>
      <c r="L66" s="139">
        <v>926.2257</v>
      </c>
      <c r="M66" s="145"/>
      <c r="N66" s="145"/>
      <c r="O66" s="146"/>
      <c r="P66" s="144"/>
      <c r="Q66" s="145"/>
      <c r="R66" s="145"/>
      <c r="S66" s="145"/>
      <c r="T66" s="146"/>
      <c r="U66" s="247"/>
      <c r="V66" s="244"/>
      <c r="W66" s="244"/>
      <c r="X66" s="244"/>
      <c r="Y66" s="244"/>
      <c r="Z66" s="244"/>
      <c r="AA66" s="245"/>
      <c r="AB66" s="247"/>
      <c r="AC66" s="244"/>
      <c r="AD66" s="244"/>
      <c r="AE66" s="244"/>
      <c r="AF66" s="244"/>
      <c r="AG66" s="244"/>
      <c r="AH66" s="244"/>
      <c r="AI66" s="244"/>
      <c r="AJ66" s="245"/>
      <c r="AK66" s="247"/>
      <c r="AL66" s="244"/>
      <c r="AM66" s="244"/>
      <c r="AN66" s="244"/>
      <c r="AO66" s="244"/>
      <c r="AP66" s="244"/>
      <c r="AQ66" s="244"/>
      <c r="AR66" s="244"/>
      <c r="AS66" s="244"/>
      <c r="AT66" s="244"/>
      <c r="AU66" s="245"/>
      <c r="AV66" s="248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5"/>
    </row>
    <row r="67" spans="8:60" ht="12.75">
      <c r="H67" s="675">
        <f>107965.045*H8</f>
        <v>107964.94754515964</v>
      </c>
      <c r="I67" s="318">
        <v>8</v>
      </c>
      <c r="J67" s="319">
        <v>2.5</v>
      </c>
      <c r="K67" s="319" t="s">
        <v>10</v>
      </c>
      <c r="L67" s="139"/>
      <c r="M67" s="144"/>
      <c r="N67" s="145">
        <v>3889.049</v>
      </c>
      <c r="O67" s="146"/>
      <c r="P67" s="144"/>
      <c r="Q67" s="145"/>
      <c r="R67" s="145"/>
      <c r="S67" s="145"/>
      <c r="T67" s="146"/>
      <c r="U67" s="247"/>
      <c r="V67" s="244"/>
      <c r="W67" s="244"/>
      <c r="X67" s="244"/>
      <c r="Y67" s="244"/>
      <c r="Z67" s="244"/>
      <c r="AA67" s="245"/>
      <c r="AB67" s="247"/>
      <c r="AC67" s="244"/>
      <c r="AD67" s="244"/>
      <c r="AE67" s="244"/>
      <c r="AF67" s="244"/>
      <c r="AG67" s="244"/>
      <c r="AH67" s="244"/>
      <c r="AI67" s="244"/>
      <c r="AJ67" s="245"/>
      <c r="AK67" s="247"/>
      <c r="AL67" s="244"/>
      <c r="AM67" s="244"/>
      <c r="AN67" s="244"/>
      <c r="AO67" s="244"/>
      <c r="AP67" s="244"/>
      <c r="AQ67" s="244"/>
      <c r="AR67" s="244"/>
      <c r="AS67" s="244"/>
      <c r="AT67" s="244"/>
      <c r="AU67" s="245"/>
      <c r="AV67" s="248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5"/>
    </row>
    <row r="68" spans="8:60" ht="12.75">
      <c r="H68" s="675">
        <f>107965.043*H8</f>
        <v>107964.94554516145</v>
      </c>
      <c r="I68" s="318">
        <v>8</v>
      </c>
      <c r="J68" s="319">
        <v>2.5</v>
      </c>
      <c r="K68" s="319" t="s">
        <v>11</v>
      </c>
      <c r="L68" s="139"/>
      <c r="M68" s="144"/>
      <c r="N68" s="145"/>
      <c r="O68" s="145"/>
      <c r="P68" s="144"/>
      <c r="Q68" s="145"/>
      <c r="R68" s="145"/>
      <c r="S68" s="145"/>
      <c r="T68" s="146"/>
      <c r="U68" s="247"/>
      <c r="V68" s="244"/>
      <c r="W68" s="244"/>
      <c r="X68" s="244"/>
      <c r="Y68" s="244"/>
      <c r="Z68" s="244"/>
      <c r="AA68" s="245"/>
      <c r="AB68" s="247"/>
      <c r="AC68" s="244"/>
      <c r="AD68" s="244"/>
      <c r="AE68" s="244"/>
      <c r="AF68" s="244"/>
      <c r="AG68" s="244"/>
      <c r="AH68" s="244"/>
      <c r="AI68" s="244"/>
      <c r="AJ68" s="245"/>
      <c r="AK68" s="247"/>
      <c r="AL68" s="244"/>
      <c r="AM68" s="244"/>
      <c r="AN68" s="244"/>
      <c r="AO68" s="244"/>
      <c r="AP68" s="244"/>
      <c r="AQ68" s="244"/>
      <c r="AR68" s="244"/>
      <c r="AS68" s="244"/>
      <c r="AT68" s="244"/>
      <c r="AU68" s="245"/>
      <c r="AV68" s="248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5"/>
    </row>
    <row r="69" spans="8:60" ht="12.75">
      <c r="H69" s="675">
        <f>107965.046*H8</f>
        <v>107964.94854515874</v>
      </c>
      <c r="I69" s="318">
        <v>8</v>
      </c>
      <c r="J69" s="319">
        <v>3.5</v>
      </c>
      <c r="K69" s="319" t="s">
        <v>12</v>
      </c>
      <c r="L69" s="139"/>
      <c r="M69" s="144"/>
      <c r="N69" s="145"/>
      <c r="O69" s="146"/>
      <c r="P69" s="144"/>
      <c r="Q69" s="145"/>
      <c r="R69" s="145"/>
      <c r="S69" s="145">
        <v>9545.972</v>
      </c>
      <c r="T69" s="146"/>
      <c r="U69" s="247"/>
      <c r="V69" s="244"/>
      <c r="W69" s="244"/>
      <c r="X69" s="244"/>
      <c r="Y69" s="244"/>
      <c r="Z69" s="244"/>
      <c r="AA69" s="245"/>
      <c r="AB69" s="247"/>
      <c r="AC69" s="244"/>
      <c r="AD69" s="244"/>
      <c r="AE69" s="244"/>
      <c r="AF69" s="244"/>
      <c r="AG69" s="244"/>
      <c r="AH69" s="244"/>
      <c r="AI69" s="244"/>
      <c r="AJ69" s="245"/>
      <c r="AK69" s="247"/>
      <c r="AL69" s="244"/>
      <c r="AM69" s="244"/>
      <c r="AN69" s="244"/>
      <c r="AO69" s="244"/>
      <c r="AP69" s="244"/>
      <c r="AQ69" s="244"/>
      <c r="AR69" s="244"/>
      <c r="AS69" s="244"/>
      <c r="AT69" s="244"/>
      <c r="AU69" s="245"/>
      <c r="AV69" s="248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5"/>
    </row>
    <row r="70" spans="8:60" ht="12.75">
      <c r="H70" s="675">
        <f>107965.044*H8</f>
        <v>107964.94654516054</v>
      </c>
      <c r="I70" s="318">
        <v>8</v>
      </c>
      <c r="J70" s="319">
        <v>3.5</v>
      </c>
      <c r="K70" s="319" t="s">
        <v>13</v>
      </c>
      <c r="L70" s="139"/>
      <c r="M70" s="144"/>
      <c r="N70" s="145"/>
      <c r="O70" s="146"/>
      <c r="P70" s="144"/>
      <c r="Q70" s="145"/>
      <c r="R70" s="145"/>
      <c r="S70" s="145"/>
      <c r="T70" s="146"/>
      <c r="U70" s="247"/>
      <c r="V70" s="244"/>
      <c r="W70" s="244"/>
      <c r="X70" s="244"/>
      <c r="Y70" s="244"/>
      <c r="Z70" s="244"/>
      <c r="AA70" s="245"/>
      <c r="AB70" s="247"/>
      <c r="AC70" s="244"/>
      <c r="AD70" s="244"/>
      <c r="AE70" s="244"/>
      <c r="AF70" s="244"/>
      <c r="AG70" s="244"/>
      <c r="AH70" s="244"/>
      <c r="AI70" s="244"/>
      <c r="AJ70" s="245"/>
      <c r="AK70" s="247"/>
      <c r="AL70" s="244"/>
      <c r="AM70" s="244"/>
      <c r="AN70" s="244"/>
      <c r="AO70" s="244"/>
      <c r="AP70" s="244"/>
      <c r="AQ70" s="244"/>
      <c r="AR70" s="244"/>
      <c r="AS70" s="244"/>
      <c r="AT70" s="244"/>
      <c r="AU70" s="245"/>
      <c r="AV70" s="248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5"/>
    </row>
    <row r="71" spans="8:60" ht="12.75">
      <c r="H71" s="675">
        <f>107965.048*H8</f>
        <v>107964.95054515693</v>
      </c>
      <c r="I71" s="318">
        <v>8</v>
      </c>
      <c r="J71" s="319">
        <v>4.5</v>
      </c>
      <c r="K71" s="319" t="s">
        <v>14</v>
      </c>
      <c r="L71" s="139"/>
      <c r="M71" s="144"/>
      <c r="N71" s="145"/>
      <c r="O71" s="146"/>
      <c r="P71" s="144"/>
      <c r="Q71" s="145"/>
      <c r="R71" s="145"/>
      <c r="S71" s="145"/>
      <c r="T71" s="146"/>
      <c r="U71" s="247"/>
      <c r="V71" s="244"/>
      <c r="W71" s="244"/>
      <c r="X71" s="244"/>
      <c r="Y71" s="244"/>
      <c r="Z71" s="244">
        <v>19445.564</v>
      </c>
      <c r="AA71" s="245"/>
      <c r="AB71" s="247"/>
      <c r="AC71" s="244"/>
      <c r="AD71" s="244"/>
      <c r="AE71" s="244"/>
      <c r="AF71" s="244"/>
      <c r="AG71" s="244"/>
      <c r="AH71" s="244"/>
      <c r="AJ71" s="245"/>
      <c r="AK71" s="247"/>
      <c r="AL71" s="244"/>
      <c r="AM71" s="244"/>
      <c r="AN71" s="244"/>
      <c r="AO71" s="244"/>
      <c r="AP71" s="244"/>
      <c r="AQ71" s="244"/>
      <c r="AR71" s="244"/>
      <c r="AS71" s="244"/>
      <c r="AT71" s="244"/>
      <c r="AU71" s="245"/>
      <c r="AV71" s="248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5"/>
    </row>
    <row r="72" spans="8:60" ht="12.75">
      <c r="H72" s="675">
        <f>107965.047*H8</f>
        <v>107964.94954515784</v>
      </c>
      <c r="I72" s="318">
        <v>8</v>
      </c>
      <c r="J72" s="319">
        <v>4.5</v>
      </c>
      <c r="K72" s="319" t="s">
        <v>15</v>
      </c>
      <c r="L72" s="139"/>
      <c r="M72" s="144"/>
      <c r="N72" s="145"/>
      <c r="O72" s="146"/>
      <c r="P72" s="144"/>
      <c r="Q72" s="145"/>
      <c r="R72" s="145"/>
      <c r="S72" s="145"/>
      <c r="T72" s="146"/>
      <c r="U72" s="247"/>
      <c r="V72" s="244"/>
      <c r="W72" s="244"/>
      <c r="X72" s="244"/>
      <c r="Y72" s="244"/>
      <c r="Z72" s="244"/>
      <c r="AA72" s="245"/>
      <c r="AB72" s="247"/>
      <c r="AC72" s="244"/>
      <c r="AD72" s="244"/>
      <c r="AE72" s="244"/>
      <c r="AF72" s="244"/>
      <c r="AG72" s="244"/>
      <c r="AH72" s="244"/>
      <c r="AI72" s="244"/>
      <c r="AJ72" s="245"/>
      <c r="AK72" s="247"/>
      <c r="AL72" s="244"/>
      <c r="AM72" s="244"/>
      <c r="AN72" s="244"/>
      <c r="AO72" s="244"/>
      <c r="AP72" s="244"/>
      <c r="AQ72" s="244"/>
      <c r="AR72" s="244"/>
      <c r="AS72" s="244"/>
      <c r="AT72" s="244"/>
      <c r="AU72" s="245"/>
      <c r="AV72" s="248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5"/>
    </row>
    <row r="73" spans="8:60" ht="12.75">
      <c r="H73" s="675">
        <f>107965.049*H8</f>
        <v>107964.95154515603</v>
      </c>
      <c r="I73" s="318">
        <v>8</v>
      </c>
      <c r="J73" s="319">
        <v>5.5</v>
      </c>
      <c r="K73" s="319" t="s">
        <v>16</v>
      </c>
      <c r="L73" s="139"/>
      <c r="M73" s="144"/>
      <c r="N73" s="145"/>
      <c r="O73" s="146"/>
      <c r="P73" s="144"/>
      <c r="Q73" s="145"/>
      <c r="R73" s="145"/>
      <c r="S73" s="145"/>
      <c r="T73" s="146"/>
      <c r="U73" s="247"/>
      <c r="V73" s="244"/>
      <c r="W73" s="244"/>
      <c r="X73" s="244"/>
      <c r="Y73" s="244"/>
      <c r="Z73" s="244"/>
      <c r="AA73" s="245"/>
      <c r="AB73" s="247"/>
      <c r="AC73" s="244"/>
      <c r="AD73" s="244"/>
      <c r="AE73" s="244"/>
      <c r="AF73" s="244"/>
      <c r="AG73" s="244"/>
      <c r="AH73" s="244"/>
      <c r="AI73" s="244">
        <v>37395.37</v>
      </c>
      <c r="AJ73" s="245"/>
      <c r="AK73" s="247"/>
      <c r="AL73" s="244"/>
      <c r="AM73" s="244"/>
      <c r="AN73" s="244"/>
      <c r="AO73" s="244"/>
      <c r="AP73" s="244"/>
      <c r="AQ73" s="244"/>
      <c r="AR73" s="244"/>
      <c r="AS73" s="244"/>
      <c r="AT73" s="244"/>
      <c r="AU73" s="245"/>
      <c r="AV73" s="248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5"/>
    </row>
    <row r="74" spans="8:60" ht="12.75">
      <c r="H74" s="675">
        <f>107965.048*H8</f>
        <v>107964.95054515693</v>
      </c>
      <c r="I74" s="318">
        <v>8</v>
      </c>
      <c r="J74" s="319">
        <v>5.5</v>
      </c>
      <c r="K74" s="319" t="s">
        <v>17</v>
      </c>
      <c r="L74" s="139"/>
      <c r="M74" s="144"/>
      <c r="N74" s="145"/>
      <c r="O74" s="146"/>
      <c r="P74" s="144"/>
      <c r="Q74" s="145"/>
      <c r="R74" s="145"/>
      <c r="S74" s="145"/>
      <c r="T74" s="146"/>
      <c r="U74" s="247"/>
      <c r="V74" s="244"/>
      <c r="W74" s="244"/>
      <c r="X74" s="244"/>
      <c r="Y74" s="244"/>
      <c r="Z74" s="244"/>
      <c r="AA74" s="245"/>
      <c r="AB74" s="247"/>
      <c r="AC74" s="244"/>
      <c r="AD74" s="244"/>
      <c r="AE74" s="244"/>
      <c r="AF74" s="244"/>
      <c r="AG74" s="244"/>
      <c r="AH74" s="244"/>
      <c r="AI74" s="244"/>
      <c r="AJ74" s="245"/>
      <c r="AK74" s="247"/>
      <c r="AL74" s="244"/>
      <c r="AM74" s="244"/>
      <c r="AN74" s="244"/>
      <c r="AO74" s="244"/>
      <c r="AP74" s="244"/>
      <c r="AQ74" s="244"/>
      <c r="AR74" s="244"/>
      <c r="AS74" s="244"/>
      <c r="AT74" s="244"/>
      <c r="AU74" s="245"/>
      <c r="AV74" s="248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5"/>
    </row>
    <row r="75" spans="8:60" ht="12.75">
      <c r="H75" s="675">
        <f>107965.051*H8</f>
        <v>107964.95354515423</v>
      </c>
      <c r="I75" s="318">
        <v>8</v>
      </c>
      <c r="J75" s="319">
        <v>6.5</v>
      </c>
      <c r="K75" s="320" t="s">
        <v>18</v>
      </c>
      <c r="L75" s="139"/>
      <c r="M75" s="144"/>
      <c r="N75" s="145"/>
      <c r="O75" s="146"/>
      <c r="P75" s="144"/>
      <c r="Q75" s="145"/>
      <c r="R75" s="145"/>
      <c r="S75" s="145"/>
      <c r="T75" s="146"/>
      <c r="U75" s="247"/>
      <c r="V75" s="244"/>
      <c r="W75" s="244"/>
      <c r="X75" s="244"/>
      <c r="Y75" s="244"/>
      <c r="Z75" s="244"/>
      <c r="AA75" s="245"/>
      <c r="AB75" s="247"/>
      <c r="AC75" s="244"/>
      <c r="AD75" s="244"/>
      <c r="AE75" s="244"/>
      <c r="AF75" s="244"/>
      <c r="AG75" s="244"/>
      <c r="AH75" s="244"/>
      <c r="AI75" s="244"/>
      <c r="AJ75" s="245"/>
      <c r="AK75" s="247"/>
      <c r="AL75" s="244"/>
      <c r="AM75" s="244"/>
      <c r="AN75" s="244"/>
      <c r="AO75" s="244"/>
      <c r="AP75" s="244"/>
      <c r="AQ75" s="244"/>
      <c r="AR75" s="244"/>
      <c r="AS75" s="244"/>
      <c r="AT75" s="244">
        <v>75004.488</v>
      </c>
      <c r="AU75" s="245"/>
      <c r="AV75" s="248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5"/>
    </row>
    <row r="76" spans="8:60" ht="12.75">
      <c r="H76" s="675">
        <f>107965.05*H8</f>
        <v>107964.95254515513</v>
      </c>
      <c r="I76" s="318">
        <v>8</v>
      </c>
      <c r="J76" s="319">
        <v>6.5</v>
      </c>
      <c r="K76" s="319" t="s">
        <v>19</v>
      </c>
      <c r="L76" s="139"/>
      <c r="M76" s="144"/>
      <c r="N76" s="145"/>
      <c r="O76" s="146"/>
      <c r="P76" s="144"/>
      <c r="Q76" s="145"/>
      <c r="R76" s="145"/>
      <c r="S76" s="145"/>
      <c r="T76" s="146"/>
      <c r="U76" s="247"/>
      <c r="V76" s="244"/>
      <c r="W76" s="244"/>
      <c r="X76" s="244"/>
      <c r="Y76" s="244"/>
      <c r="Z76" s="244"/>
      <c r="AA76" s="245"/>
      <c r="AB76" s="247"/>
      <c r="AC76" s="244"/>
      <c r="AD76" s="244"/>
      <c r="AE76" s="244"/>
      <c r="AF76" s="244"/>
      <c r="AG76" s="244"/>
      <c r="AH76" s="244"/>
      <c r="AI76" s="244"/>
      <c r="AJ76" s="245"/>
      <c r="AK76" s="247"/>
      <c r="AL76" s="244"/>
      <c r="AM76" s="244"/>
      <c r="AN76" s="244"/>
      <c r="AO76" s="244"/>
      <c r="AP76" s="244"/>
      <c r="AQ76" s="244"/>
      <c r="AR76" s="244"/>
      <c r="AS76" s="244"/>
      <c r="AT76" s="244"/>
      <c r="AU76" s="245"/>
      <c r="AV76" s="248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5"/>
    </row>
    <row r="77" spans="8:60" ht="12.75">
      <c r="H77" s="675">
        <f>107965.052*H8</f>
        <v>107964.95454515332</v>
      </c>
      <c r="I77" s="318">
        <v>8</v>
      </c>
      <c r="J77" s="319">
        <v>7.5</v>
      </c>
      <c r="K77" s="320" t="s">
        <v>61</v>
      </c>
      <c r="L77" s="139"/>
      <c r="M77" s="144"/>
      <c r="N77" s="145"/>
      <c r="O77" s="146"/>
      <c r="P77" s="144"/>
      <c r="Q77" s="145"/>
      <c r="R77" s="145"/>
      <c r="S77" s="145"/>
      <c r="T77" s="146"/>
      <c r="U77" s="247"/>
      <c r="V77" s="244"/>
      <c r="W77" s="244"/>
      <c r="X77" s="244"/>
      <c r="Y77" s="244"/>
      <c r="Z77" s="244"/>
      <c r="AA77" s="245"/>
      <c r="AB77" s="247"/>
      <c r="AC77" s="244"/>
      <c r="AD77" s="244"/>
      <c r="AE77" s="244"/>
      <c r="AF77" s="244"/>
      <c r="AG77" s="244"/>
      <c r="AH77" s="244"/>
      <c r="AI77" s="244"/>
      <c r="AJ77" s="245"/>
      <c r="AK77" s="247"/>
      <c r="AL77" s="244"/>
      <c r="AM77" s="244"/>
      <c r="AN77" s="244"/>
      <c r="AO77" s="244"/>
      <c r="AP77" s="244"/>
      <c r="AQ77" s="244"/>
      <c r="AR77" s="244"/>
      <c r="AS77" s="244"/>
      <c r="AT77" s="244"/>
      <c r="AU77" s="245"/>
      <c r="AV77" s="248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>
        <v>190567.045</v>
      </c>
      <c r="BH77" s="245"/>
    </row>
    <row r="78" spans="8:60" ht="13.5" thickBot="1">
      <c r="H78" s="680">
        <f>107965.052*H8</f>
        <v>107964.95454515332</v>
      </c>
      <c r="I78" s="324">
        <v>8</v>
      </c>
      <c r="J78" s="325">
        <v>7.5</v>
      </c>
      <c r="K78" s="326" t="s">
        <v>62</v>
      </c>
      <c r="L78" s="198"/>
      <c r="M78" s="199"/>
      <c r="N78" s="200"/>
      <c r="O78" s="201"/>
      <c r="P78" s="199"/>
      <c r="Q78" s="200"/>
      <c r="R78" s="200"/>
      <c r="S78" s="200"/>
      <c r="T78" s="201"/>
      <c r="U78" s="277"/>
      <c r="V78" s="249"/>
      <c r="W78" s="249"/>
      <c r="X78" s="249"/>
      <c r="Y78" s="249"/>
      <c r="Z78" s="249"/>
      <c r="AA78" s="278"/>
      <c r="AB78" s="277"/>
      <c r="AC78" s="249"/>
      <c r="AD78" s="249"/>
      <c r="AE78" s="249"/>
      <c r="AF78" s="249"/>
      <c r="AG78" s="249"/>
      <c r="AH78" s="249"/>
      <c r="AI78" s="249"/>
      <c r="AJ78" s="278"/>
      <c r="AK78" s="277"/>
      <c r="AL78" s="249"/>
      <c r="AM78" s="249"/>
      <c r="AN78" s="249"/>
      <c r="AO78" s="249"/>
      <c r="AP78" s="249"/>
      <c r="AQ78" s="249"/>
      <c r="AR78" s="249"/>
      <c r="AS78" s="249"/>
      <c r="AT78" s="249"/>
      <c r="AU78" s="278"/>
      <c r="AV78" s="27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78"/>
    </row>
    <row r="79" ht="13.5" thickTop="1"/>
  </sheetData>
  <sheetProtection password="F5F5" sheet="1" objects="1" scenarios="1"/>
  <mergeCells count="4">
    <mergeCell ref="I12:J13"/>
    <mergeCell ref="H12:H13"/>
    <mergeCell ref="B8:G8"/>
    <mergeCell ref="C10:H1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H80"/>
  <sheetViews>
    <sheetView workbookViewId="0" topLeftCell="G1">
      <pane xSplit="4" ySplit="14" topLeftCell="K44" activePane="bottomRight" state="frozen"/>
      <selection pane="topLeft" activeCell="G1" sqref="G1"/>
      <selection pane="topRight" activeCell="K1" sqref="K1"/>
      <selection pane="bottomLeft" activeCell="G14" sqref="G14"/>
      <selection pane="bottomRight" activeCell="G1" sqref="G1"/>
    </sheetView>
  </sheetViews>
  <sheetFormatPr defaultColWidth="9.140625" defaultRowHeight="12.75"/>
  <cols>
    <col min="7" max="7" width="15.57421875" style="0" customWidth="1"/>
    <col min="8" max="8" width="14.421875" style="0" customWidth="1"/>
    <col min="9" max="9" width="6.00390625" style="0" customWidth="1"/>
    <col min="10" max="10" width="4.421875" style="0" customWidth="1"/>
    <col min="11" max="11" width="7.140625" style="0" customWidth="1"/>
    <col min="13" max="13" width="7.140625" style="0" customWidth="1"/>
    <col min="14" max="14" width="7.57421875" style="0" customWidth="1"/>
    <col min="15" max="18" width="7.140625" style="0" customWidth="1"/>
    <col min="19" max="19" width="8.28125" style="0" customWidth="1"/>
    <col min="20" max="20" width="7.00390625" style="0" customWidth="1"/>
    <col min="21" max="23" width="7.140625" style="0" customWidth="1"/>
    <col min="24" max="24" width="4.421875" style="0" customWidth="1"/>
    <col min="25" max="25" width="4.00390625" style="0" customWidth="1"/>
    <col min="26" max="26" width="7.140625" style="0" customWidth="1"/>
    <col min="27" max="27" width="4.00390625" style="0" customWidth="1"/>
    <col min="28" max="28" width="4.140625" style="0" customWidth="1"/>
    <col min="29" max="29" width="7.140625" style="0" customWidth="1"/>
    <col min="30" max="30" width="4.00390625" style="0" customWidth="1"/>
    <col min="31" max="31" width="4.421875" style="0" customWidth="1"/>
    <col min="32" max="34" width="4.00390625" style="0" customWidth="1"/>
    <col min="35" max="35" width="8.28125" style="0" customWidth="1"/>
    <col min="36" max="36" width="4.00390625" style="0" customWidth="1"/>
    <col min="37" max="37" width="4.140625" style="0" customWidth="1"/>
    <col min="38" max="38" width="4.421875" style="0" customWidth="1"/>
    <col min="39" max="39" width="4.00390625" style="0" customWidth="1"/>
    <col min="40" max="40" width="4.421875" style="0" customWidth="1"/>
    <col min="41" max="43" width="4.00390625" style="0" customWidth="1"/>
    <col min="44" max="44" width="4.421875" style="0" customWidth="1"/>
    <col min="45" max="45" width="4.00390625" style="0" customWidth="1"/>
    <col min="46" max="46" width="7.140625" style="0" customWidth="1"/>
    <col min="47" max="47" width="4.00390625" style="0" customWidth="1"/>
    <col min="48" max="48" width="4.140625" style="0" customWidth="1"/>
    <col min="49" max="49" width="4.421875" style="0" customWidth="1"/>
    <col min="50" max="50" width="4.00390625" style="0" customWidth="1"/>
    <col min="51" max="51" width="4.421875" style="0" customWidth="1"/>
    <col min="52" max="54" width="4.00390625" style="0" customWidth="1"/>
    <col min="55" max="55" width="4.421875" style="0" customWidth="1"/>
    <col min="56" max="56" width="4.00390625" style="0" customWidth="1"/>
    <col min="57" max="57" width="4.421875" style="0" customWidth="1"/>
    <col min="58" max="58" width="4.00390625" style="0" customWidth="1"/>
    <col min="59" max="59" width="7.140625" style="0" customWidth="1"/>
    <col min="60" max="60" width="4.00390625" style="0" customWidth="1"/>
  </cols>
  <sheetData>
    <row r="6" spans="7:16" ht="12.75">
      <c r="G6" s="331" t="s">
        <v>187</v>
      </c>
      <c r="M6" s="671"/>
      <c r="N6" s="671"/>
      <c r="O6" s="671"/>
      <c r="P6" s="671"/>
    </row>
    <row r="7" spans="7:16" ht="12.75">
      <c r="G7" s="331" t="s">
        <v>186</v>
      </c>
      <c r="M7" s="7"/>
      <c r="N7" s="7"/>
      <c r="O7" s="7"/>
      <c r="P7" s="7"/>
    </row>
    <row r="8" ht="12.75">
      <c r="G8" s="340"/>
    </row>
    <row r="9" spans="7:13" ht="14.25">
      <c r="G9" s="717" t="s">
        <v>193</v>
      </c>
      <c r="H9" s="718"/>
      <c r="I9" s="718"/>
      <c r="J9" s="719"/>
      <c r="K9" s="785">
        <f>(G16+G19+G24+G31+G40+G51+G64)/7</f>
        <v>-0.0007055390249844762</v>
      </c>
      <c r="L9" s="786"/>
      <c r="M9" s="298" t="s">
        <v>2</v>
      </c>
    </row>
    <row r="11" ht="13.5" thickBot="1">
      <c r="G11" s="224"/>
    </row>
    <row r="12" spans="3:60" ht="23.25" customHeight="1" thickTop="1">
      <c r="C12" s="799" t="s">
        <v>88</v>
      </c>
      <c r="D12" s="797"/>
      <c r="E12" s="797"/>
      <c r="F12" s="797"/>
      <c r="G12" s="798" t="s">
        <v>191</v>
      </c>
      <c r="H12" s="779" t="s">
        <v>91</v>
      </c>
      <c r="I12" s="792" t="s">
        <v>93</v>
      </c>
      <c r="J12" s="793"/>
      <c r="K12" s="689" t="s">
        <v>0</v>
      </c>
      <c r="L12" s="690">
        <v>1</v>
      </c>
      <c r="M12" s="691">
        <v>2</v>
      </c>
      <c r="N12" s="2">
        <v>2</v>
      </c>
      <c r="O12" s="295">
        <v>2</v>
      </c>
      <c r="P12" s="691">
        <v>3</v>
      </c>
      <c r="Q12" s="691">
        <v>3</v>
      </c>
      <c r="R12" s="2">
        <v>3</v>
      </c>
      <c r="S12" s="2">
        <v>3</v>
      </c>
      <c r="T12" s="295">
        <v>3</v>
      </c>
      <c r="U12" s="691">
        <v>4</v>
      </c>
      <c r="V12" s="2">
        <v>4</v>
      </c>
      <c r="W12" s="2">
        <v>4</v>
      </c>
      <c r="X12" s="2">
        <v>4</v>
      </c>
      <c r="Y12" s="2">
        <v>4</v>
      </c>
      <c r="Z12" s="2">
        <v>4</v>
      </c>
      <c r="AA12" s="295">
        <v>4</v>
      </c>
      <c r="AB12" s="691">
        <v>5</v>
      </c>
      <c r="AC12" s="2">
        <v>5</v>
      </c>
      <c r="AD12" s="2">
        <v>5</v>
      </c>
      <c r="AE12" s="2">
        <v>5</v>
      </c>
      <c r="AF12" s="2">
        <v>5</v>
      </c>
      <c r="AG12" s="2">
        <v>5</v>
      </c>
      <c r="AH12" s="2">
        <v>5</v>
      </c>
      <c r="AI12" s="2">
        <v>5</v>
      </c>
      <c r="AJ12" s="295">
        <v>5</v>
      </c>
      <c r="AK12" s="691">
        <v>6</v>
      </c>
      <c r="AL12" s="2">
        <v>6</v>
      </c>
      <c r="AM12" s="2">
        <v>6</v>
      </c>
      <c r="AN12" s="2">
        <v>6</v>
      </c>
      <c r="AO12" s="2">
        <v>6</v>
      </c>
      <c r="AP12" s="2">
        <v>6</v>
      </c>
      <c r="AQ12" s="2">
        <v>6</v>
      </c>
      <c r="AR12" s="2">
        <v>6</v>
      </c>
      <c r="AS12" s="2">
        <v>6</v>
      </c>
      <c r="AT12" s="2">
        <v>6</v>
      </c>
      <c r="AU12" s="295">
        <v>6</v>
      </c>
      <c r="AV12" s="691">
        <v>7</v>
      </c>
      <c r="AW12" s="2">
        <v>7</v>
      </c>
      <c r="AX12" s="2">
        <v>7</v>
      </c>
      <c r="AY12" s="2">
        <v>7</v>
      </c>
      <c r="AZ12" s="2">
        <v>7</v>
      </c>
      <c r="BA12" s="2">
        <v>7</v>
      </c>
      <c r="BB12" s="2">
        <v>7</v>
      </c>
      <c r="BC12" s="2">
        <v>7</v>
      </c>
      <c r="BD12" s="2">
        <v>7</v>
      </c>
      <c r="BE12" s="2">
        <v>7</v>
      </c>
      <c r="BF12" s="2">
        <v>7</v>
      </c>
      <c r="BG12" s="2">
        <v>7</v>
      </c>
      <c r="BH12" s="295">
        <v>7</v>
      </c>
    </row>
    <row r="13" spans="3:60" ht="14.25">
      <c r="C13" s="800"/>
      <c r="D13" s="797"/>
      <c r="E13" s="797"/>
      <c r="F13" s="797"/>
      <c r="G13" s="710"/>
      <c r="H13" s="796"/>
      <c r="I13" s="794"/>
      <c r="J13" s="795"/>
      <c r="K13" s="301" t="s">
        <v>97</v>
      </c>
      <c r="L13" s="335">
        <v>0.5</v>
      </c>
      <c r="M13" s="297">
        <v>0.5</v>
      </c>
      <c r="N13" s="298">
        <v>1.5</v>
      </c>
      <c r="O13" s="296">
        <v>1.5</v>
      </c>
      <c r="P13" s="297">
        <v>0.5</v>
      </c>
      <c r="Q13" s="297">
        <v>1.5</v>
      </c>
      <c r="R13" s="298">
        <v>1.5</v>
      </c>
      <c r="S13" s="298">
        <v>2.5</v>
      </c>
      <c r="T13" s="296">
        <v>2.5</v>
      </c>
      <c r="U13" s="297">
        <v>0.5</v>
      </c>
      <c r="V13" s="298">
        <v>1.5</v>
      </c>
      <c r="W13" s="298">
        <v>1.5</v>
      </c>
      <c r="X13" s="298">
        <v>2.5</v>
      </c>
      <c r="Y13" s="298">
        <v>2.5</v>
      </c>
      <c r="Z13" s="298">
        <v>3.5</v>
      </c>
      <c r="AA13" s="296">
        <v>3.5</v>
      </c>
      <c r="AB13" s="297">
        <v>0.5</v>
      </c>
      <c r="AC13" s="298">
        <v>1.5</v>
      </c>
      <c r="AD13" s="298">
        <v>1.5</v>
      </c>
      <c r="AE13" s="298">
        <v>2.5</v>
      </c>
      <c r="AF13" s="298">
        <v>2.5</v>
      </c>
      <c r="AG13" s="298">
        <v>3.5</v>
      </c>
      <c r="AH13" s="298">
        <v>3.5</v>
      </c>
      <c r="AI13" s="298">
        <v>4.5</v>
      </c>
      <c r="AJ13" s="296">
        <v>4.5</v>
      </c>
      <c r="AK13" s="297">
        <v>0.5</v>
      </c>
      <c r="AL13" s="298">
        <v>1.5</v>
      </c>
      <c r="AM13" s="298">
        <v>1.5</v>
      </c>
      <c r="AN13" s="298">
        <v>2.5</v>
      </c>
      <c r="AO13" s="298">
        <v>2.5</v>
      </c>
      <c r="AP13" s="298">
        <v>3.5</v>
      </c>
      <c r="AQ13" s="298">
        <v>3.5</v>
      </c>
      <c r="AR13" s="298">
        <v>4.5</v>
      </c>
      <c r="AS13" s="298">
        <v>4.5</v>
      </c>
      <c r="AT13" s="298">
        <v>5.5</v>
      </c>
      <c r="AU13" s="296">
        <v>5.5</v>
      </c>
      <c r="AV13" s="297">
        <v>0.5</v>
      </c>
      <c r="AW13" s="298">
        <v>1.5</v>
      </c>
      <c r="AX13" s="298">
        <v>1.5</v>
      </c>
      <c r="AY13" s="298">
        <v>2.5</v>
      </c>
      <c r="AZ13" s="298">
        <v>2.5</v>
      </c>
      <c r="BA13" s="298">
        <v>3.5</v>
      </c>
      <c r="BB13" s="298">
        <v>3.5</v>
      </c>
      <c r="BC13" s="298">
        <v>4.5</v>
      </c>
      <c r="BD13" s="298">
        <v>4.5</v>
      </c>
      <c r="BE13" s="298">
        <v>5.5</v>
      </c>
      <c r="BF13" s="298">
        <v>5.5</v>
      </c>
      <c r="BG13" s="298">
        <v>6.5</v>
      </c>
      <c r="BH13" s="296">
        <v>6.5</v>
      </c>
    </row>
    <row r="14" spans="3:60" ht="15">
      <c r="C14" s="801"/>
      <c r="D14" s="797"/>
      <c r="E14" s="797"/>
      <c r="F14" s="797"/>
      <c r="G14" s="335" t="s">
        <v>2</v>
      </c>
      <c r="H14" s="335" t="s">
        <v>2</v>
      </c>
      <c r="I14" s="329" t="s">
        <v>3</v>
      </c>
      <c r="J14" s="300" t="s">
        <v>97</v>
      </c>
      <c r="K14" s="299"/>
      <c r="L14" s="335" t="s">
        <v>7</v>
      </c>
      <c r="M14" s="297" t="s">
        <v>7</v>
      </c>
      <c r="N14" s="298" t="s">
        <v>8</v>
      </c>
      <c r="O14" s="296" t="s">
        <v>9</v>
      </c>
      <c r="P14" s="297" t="s">
        <v>7</v>
      </c>
      <c r="Q14" s="297" t="s">
        <v>8</v>
      </c>
      <c r="R14" s="298" t="s">
        <v>9</v>
      </c>
      <c r="S14" s="298" t="s">
        <v>10</v>
      </c>
      <c r="T14" s="296" t="s">
        <v>11</v>
      </c>
      <c r="U14" s="297" t="s">
        <v>7</v>
      </c>
      <c r="V14" s="298" t="s">
        <v>8</v>
      </c>
      <c r="W14" s="298" t="s">
        <v>9</v>
      </c>
      <c r="X14" s="298" t="s">
        <v>10</v>
      </c>
      <c r="Y14" s="298" t="s">
        <v>11</v>
      </c>
      <c r="Z14" s="298" t="s">
        <v>12</v>
      </c>
      <c r="AA14" s="296" t="s">
        <v>13</v>
      </c>
      <c r="AB14" s="297" t="s">
        <v>7</v>
      </c>
      <c r="AC14" s="298" t="s">
        <v>8</v>
      </c>
      <c r="AD14" s="298" t="s">
        <v>9</v>
      </c>
      <c r="AE14" s="298" t="s">
        <v>10</v>
      </c>
      <c r="AF14" s="298" t="s">
        <v>11</v>
      </c>
      <c r="AG14" s="298" t="s">
        <v>12</v>
      </c>
      <c r="AH14" s="298" t="s">
        <v>13</v>
      </c>
      <c r="AI14" s="298" t="s">
        <v>14</v>
      </c>
      <c r="AJ14" s="296" t="s">
        <v>15</v>
      </c>
      <c r="AK14" s="297" t="s">
        <v>7</v>
      </c>
      <c r="AL14" s="298" t="s">
        <v>8</v>
      </c>
      <c r="AM14" s="298" t="s">
        <v>9</v>
      </c>
      <c r="AN14" s="298" t="s">
        <v>10</v>
      </c>
      <c r="AO14" s="298" t="s">
        <v>11</v>
      </c>
      <c r="AP14" s="298" t="s">
        <v>12</v>
      </c>
      <c r="AQ14" s="298" t="s">
        <v>13</v>
      </c>
      <c r="AR14" s="298" t="s">
        <v>14</v>
      </c>
      <c r="AS14" s="298" t="s">
        <v>15</v>
      </c>
      <c r="AT14" s="298" t="s">
        <v>16</v>
      </c>
      <c r="AU14" s="296" t="s">
        <v>17</v>
      </c>
      <c r="AV14" s="297" t="s">
        <v>7</v>
      </c>
      <c r="AW14" s="298" t="s">
        <v>8</v>
      </c>
      <c r="AX14" s="298" t="s">
        <v>9</v>
      </c>
      <c r="AY14" s="298" t="s">
        <v>10</v>
      </c>
      <c r="AZ14" s="298" t="s">
        <v>11</v>
      </c>
      <c r="BA14" s="298" t="s">
        <v>12</v>
      </c>
      <c r="BB14" s="298" t="s">
        <v>13</v>
      </c>
      <c r="BC14" s="298" t="s">
        <v>14</v>
      </c>
      <c r="BD14" s="298" t="s">
        <v>15</v>
      </c>
      <c r="BE14" s="298" t="s">
        <v>16</v>
      </c>
      <c r="BF14" s="298" t="s">
        <v>17</v>
      </c>
      <c r="BG14" s="298" t="s">
        <v>18</v>
      </c>
      <c r="BH14" s="296" t="s">
        <v>19</v>
      </c>
    </row>
    <row r="15" spans="3:60" ht="13.5" thickBot="1">
      <c r="C15" s="351" t="e">
        <f>A51*(1-0.99575999/A15^2)</f>
        <v>#DIV/0!</v>
      </c>
      <c r="G15" s="678" t="s">
        <v>192</v>
      </c>
      <c r="H15" s="670">
        <f>'H(R+S+L)'!J15-Moore!H15</f>
        <v>0</v>
      </c>
      <c r="I15" s="297">
        <v>1</v>
      </c>
      <c r="J15" s="298">
        <v>0.5</v>
      </c>
      <c r="K15" s="296" t="s">
        <v>7</v>
      </c>
      <c r="L15" s="695">
        <f>IF(OR('H(R+S+L)'!N15="N.P.",'H(R+S+L)'!N15="",Moore!L15=""),"",'H(R+S+L)'!N15-Moore!L15)</f>
      </c>
      <c r="M15" s="347">
        <f>IF(OR('H(R+S+L)'!O15="N.P.",'H(R+S+L)'!O15="",Moore!M15=""),"",'H(R+S+L)'!O15-Moore!M15)</f>
      </c>
      <c r="N15" s="341">
        <f>IF(OR('H(R+S+L)'!P15="N.P.",'H(R+S+L)'!P15="",Moore!N15=""),"",'H(R+S+L)'!P15-Moore!N15)</f>
      </c>
      <c r="O15" s="342">
        <f>IF(OR('H(R+S+L)'!Q15="N.P.",'H(R+S+L)'!Q15="",Moore!O15=""),"",'H(R+S+L)'!Q15-Moore!O15)</f>
      </c>
      <c r="P15" s="347">
        <f>IF(OR('H(R+S+L)'!R15="N.P.",'H(R+S+L)'!R15="",Moore!P15=""),"",'H(R+S+L)'!R15-Moore!P15)</f>
      </c>
      <c r="Q15" s="341">
        <f>IF(OR('H(R+S+L)'!S15="N.P.",'H(R+S+L)'!S15="",Moore!Q15=""),"",'H(R+S+L)'!S15-Moore!Q15)</f>
      </c>
      <c r="R15" s="341">
        <f>IF(OR('H(R+S+L)'!T15="N.P.",'H(R+S+L)'!T15="",Moore!R15=""),"",'H(R+S+L)'!T15-Moore!R15)</f>
      </c>
      <c r="S15" s="341">
        <f>IF(OR('H(R+S+L)'!U15="N.P.",'H(R+S+L)'!U15="",Moore!S15=""),"",'H(R+S+L)'!U15-Moore!S15)</f>
      </c>
      <c r="T15" s="342">
        <f>IF(OR('H(R+S+L)'!V15="N.P.",'H(R+S+L)'!V15="",Moore!T15=""),"",'H(R+S+L)'!V15-Moore!T15)</f>
      </c>
      <c r="U15" s="347">
        <f>IF(OR('H(R+S+L)'!W15="N.P.",'H(R+S+L)'!W15="",Moore!U15=""),"",'H(R+S+L)'!W15-Moore!U15)</f>
      </c>
      <c r="V15" s="341">
        <f>IF(OR('H(R+S+L)'!X15="N.P.",'H(R+S+L)'!X15="",Moore!V15=""),"",'H(R+S+L)'!X15-Moore!V15)</f>
      </c>
      <c r="W15" s="341">
        <f>IF(OR('H(R+S+L)'!Y15="N.P.",'H(R+S+L)'!Y15="",Moore!W15=""),"",'H(R+S+L)'!Y15-Moore!W15)</f>
      </c>
      <c r="X15" s="341">
        <f>IF(OR('H(R+S+L)'!Z15="N.P.",'H(R+S+L)'!Z15="",Moore!X15=""),"",'H(R+S+L)'!Z15-Moore!X15)</f>
      </c>
      <c r="Y15" s="341">
        <f>IF(OR('H(R+S+L)'!AA15="N.P.",'H(R+S+L)'!AA15="",Moore!Y15=""),"",'H(R+S+L)'!AA15-Moore!Y15)</f>
      </c>
      <c r="Z15" s="341">
        <f>IF(OR('H(R+S+L)'!AB15="N.P.",'H(R+S+L)'!AB15="",Moore!Z15=""),"",'H(R+S+L)'!AB15-Moore!Z15)</f>
      </c>
      <c r="AA15" s="342">
        <f>IF(OR('H(R+S+L)'!AC15="N.P.",'H(R+S+L)'!AC15="",Moore!AA15=""),"",'H(R+S+L)'!AC15-Moore!AA15)</f>
      </c>
      <c r="AB15" s="347">
        <f>IF(OR('H(R+S+L)'!AD15="N.P.",'H(R+S+L)'!AD15="",Moore!AB15=""),"",'H(R+S+L)'!AD15-Moore!AB15)</f>
      </c>
      <c r="AC15" s="341">
        <f>IF(OR('H(R+S+L)'!AE15="N.P.",'H(R+S+L)'!AE15="",Moore!AC15=""),"",'H(R+S+L)'!AE15-Moore!AC15)</f>
      </c>
      <c r="AD15" s="341">
        <f>IF(OR('H(R+S+L)'!AF15="N.P.",'H(R+S+L)'!AF15="",Moore!AD15=""),"",'H(R+S+L)'!AF15-Moore!AD15)</f>
      </c>
      <c r="AE15" s="341">
        <f>IF(OR('H(R+S+L)'!AG15="N.P.",'H(R+S+L)'!AG15="",Moore!AE15=""),"",'H(R+S+L)'!AG15-Moore!AE15)</f>
      </c>
      <c r="AF15" s="341">
        <f>IF(OR('H(R+S+L)'!AH15="N.P.",'H(R+S+L)'!AH15="",Moore!AF15=""),"",'H(R+S+L)'!AH15-Moore!AF15)</f>
      </c>
      <c r="AG15" s="341">
        <f>IF(OR('H(R+S+L)'!AI15="N.P.",'H(R+S+L)'!AI15="",Moore!AG15=""),"",'H(R+S+L)'!AI15-Moore!AG15)</f>
      </c>
      <c r="AH15" s="341">
        <f>IF(OR('H(R+S+L)'!AJ15="N.P.",'H(R+S+L)'!AJ15="",Moore!AH15=""),"",'H(R+S+L)'!AJ15-Moore!AH15)</f>
      </c>
      <c r="AI15" s="341">
        <f>IF(OR('H(R+S+L)'!AK15="N.P.",'H(R+S+L)'!AK15="",Moore!AI15=""),"",'H(R+S+L)'!AK15-Moore!AI15)</f>
      </c>
      <c r="AJ15" s="342">
        <f>IF(OR('H(R+S+L)'!AL15="N.P.",'H(R+S+L)'!AL15="",Moore!AJ15=""),"",'H(R+S+L)'!AL15-Moore!AJ15)</f>
      </c>
      <c r="AK15" s="347">
        <f>IF(OR('H(R+S+L)'!AM15="N.P.",'H(R+S+L)'!AM15="",Moore!AK15=""),"",'H(R+S+L)'!AM15-Moore!AK15)</f>
      </c>
      <c r="AL15" s="341">
        <f>IF(OR('H(R+S+L)'!AN15="N.P.",'H(R+S+L)'!AN15="",Moore!AL15=""),"",'H(R+S+L)'!AN15-Moore!AL15)</f>
      </c>
      <c r="AM15" s="341">
        <f>IF(OR('H(R+S+L)'!AO15="N.P.",'H(R+S+L)'!AO15="",Moore!AM15=""),"",'H(R+S+L)'!AO15-Moore!AM15)</f>
      </c>
      <c r="AN15" s="341">
        <f>IF(OR('H(R+S+L)'!AP15="N.P.",'H(R+S+L)'!AP15="",Moore!AN15=""),"",'H(R+S+L)'!AP15-Moore!AN15)</f>
      </c>
      <c r="AO15" s="341">
        <f>IF(OR('H(R+S+L)'!AQ15="N.P.",'H(R+S+L)'!AQ15="",Moore!AO15=""),"",'H(R+S+L)'!AQ15-Moore!AO15)</f>
      </c>
      <c r="AP15" s="341">
        <f>IF(OR('H(R+S+L)'!AR15="N.P.",'H(R+S+L)'!AR15="",Moore!AP15=""),"",'H(R+S+L)'!AR15-Moore!AP15)</f>
      </c>
      <c r="AQ15" s="341">
        <f>IF(OR('H(R+S+L)'!AS15="N.P.",'H(R+S+L)'!AS15="",Moore!AQ15=""),"",'H(R+S+L)'!AS15-Moore!AQ15)</f>
      </c>
      <c r="AR15" s="341">
        <f>IF(OR('H(R+S+L)'!AT15="N.P.",'H(R+S+L)'!AT15="",Moore!AR15=""),"",'H(R+S+L)'!AT15-Moore!AR15)</f>
      </c>
      <c r="AS15" s="341">
        <f>IF(OR('H(R+S+L)'!AU15="N.P.",'H(R+S+L)'!AU15="",Moore!AS15=""),"",'H(R+S+L)'!AU15-Moore!AS15)</f>
      </c>
      <c r="AT15" s="341">
        <f>IF(OR('H(R+S+L)'!AV15="N.P.",'H(R+S+L)'!AV15="",Moore!AT15=""),"",'H(R+S+L)'!AV15-Moore!AT15)</f>
      </c>
      <c r="AU15" s="342">
        <f>IF(OR('H(R+S+L)'!AW15="N.P.",'H(R+S+L)'!AW15="",Moore!AU15=""),"",'H(R+S+L)'!AW15-Moore!AU15)</f>
      </c>
      <c r="AV15" s="347">
        <f>IF(OR('H(R+S+L)'!AX15="N.P.",'H(R+S+L)'!AX15="",Moore!AV15=""),"",'H(R+S+L)'!AX15-Moore!AV15)</f>
      </c>
      <c r="AW15" s="341">
        <f>IF(OR('H(R+S+L)'!AY15="N.P.",'H(R+S+L)'!AY15="",Moore!AW15=""),"",'H(R+S+L)'!AY15-Moore!AW15)</f>
      </c>
      <c r="AX15" s="341">
        <f>IF(OR('H(R+S+L)'!AZ15="N.P.",'H(R+S+L)'!AZ15="",Moore!AX15=""),"",'H(R+S+L)'!AZ15-Moore!AX15)</f>
      </c>
      <c r="AY15" s="341">
        <f>IF(OR('H(R+S+L)'!BA15="N.P.",'H(R+S+L)'!BA15="",Moore!AY15=""),"",'H(R+S+L)'!BA15-Moore!AY15)</f>
      </c>
      <c r="AZ15" s="341">
        <f>IF(OR('H(R+S+L)'!BB15="N.P.",'H(R+S+L)'!BB15="",Moore!AZ15=""),"",'H(R+S+L)'!BB15-Moore!AZ15)</f>
      </c>
      <c r="BA15" s="341">
        <f>IF(OR('H(R+S+L)'!BC15="N.P.",'H(R+S+L)'!BC15="",Moore!BA15=""),"",'H(R+S+L)'!BC15-Moore!BA15)</f>
      </c>
      <c r="BB15" s="341">
        <f>IF(OR('H(R+S+L)'!BD15="N.P.",'H(R+S+L)'!BD15="",Moore!BB15=""),"",'H(R+S+L)'!BD15-Moore!BB15)</f>
      </c>
      <c r="BC15" s="341">
        <f>IF(OR('H(R+S+L)'!BE15="N.P.",'H(R+S+L)'!BE15="",Moore!BC15=""),"",'H(R+S+L)'!BE15-Moore!BC15)</f>
      </c>
      <c r="BD15" s="341">
        <f>IF(OR('H(R+S+L)'!BF15="N.P.",'H(R+S+L)'!BF15="",Moore!BD15=""),"",'H(R+S+L)'!BF15-Moore!BD15)</f>
      </c>
      <c r="BE15" s="341">
        <f>IF(OR('H(R+S+L)'!BG15="N.P.",'H(R+S+L)'!BG15="",Moore!BE15=""),"",'H(R+S+L)'!BG15-Moore!BE15)</f>
      </c>
      <c r="BF15" s="341">
        <f>IF(OR('H(R+S+L)'!BH15="N.P.",'H(R+S+L)'!BH15="",Moore!BF15=""),"",'H(R+S+L)'!BH15-Moore!BF15)</f>
      </c>
      <c r="BG15" s="341">
        <f>IF(OR('H(R+S+L)'!BI15="N.P.",'H(R+S+L)'!BI15="",Moore!BG15=""),"",'H(R+S+L)'!BI15-Moore!BG15)</f>
      </c>
      <c r="BH15" s="342">
        <f>IF(OR('H(R+S+L)'!BJ15="N.P.",'H(R+S+L)'!BJ15="",Moore!BH15=""),"",'H(R+S+L)'!BJ15-Moore!BH15)</f>
      </c>
    </row>
    <row r="16" spans="7:60" ht="13.5" thickTop="1">
      <c r="G16" s="787">
        <f>SUM(H16:H18)/3</f>
        <v>-6.598308391403407E-05</v>
      </c>
      <c r="H16" s="336">
        <f>'H(R+S+L)'!J16*1-Moore!H16</f>
        <v>-0.00025429729430470616</v>
      </c>
      <c r="I16" s="297">
        <v>2</v>
      </c>
      <c r="J16" s="298">
        <v>0.5</v>
      </c>
      <c r="K16" s="296" t="s">
        <v>7</v>
      </c>
      <c r="L16" s="695">
        <f>IF(OR('H(R+S+L)'!N16="N.P.",'H(R+S+L)'!N16="",Moore!L16=""),"",'H(R+S+L)'!N16-Moore!L16)</f>
      </c>
      <c r="M16" s="347">
        <f>IF(OR('H(R+S+L)'!O16="N.P.",'H(R+S+L)'!O16="",Moore!M16=""),"",'H(R+S+L)'!O16-Moore!M16)</f>
      </c>
      <c r="N16" s="341">
        <f>IF(OR('H(R+S+L)'!P16="N.P.",'H(R+S+L)'!P16="",Moore!N16=""),"",'H(R+S+L)'!P16-Moore!N16)</f>
      </c>
      <c r="O16" s="342">
        <f>IF(OR('H(R+S+L)'!Q16="N.P.",'H(R+S+L)'!Q16="",Moore!O16=""),"",'H(R+S+L)'!Q16-Moore!O16)</f>
      </c>
      <c r="P16" s="347">
        <f>IF(OR('H(R+S+L)'!R16="N.P.",'H(R+S+L)'!R16="",Moore!P16=""),"",'H(R+S+L)'!R16-Moore!P16)</f>
      </c>
      <c r="Q16" s="341">
        <f>IF(OR('H(R+S+L)'!S16="N.P.",'H(R+S+L)'!S16="",Moore!Q16=""),"",'H(R+S+L)'!S16-Moore!Q16)</f>
      </c>
      <c r="R16" s="341">
        <f>IF(OR('H(R+S+L)'!T16="N.P.",'H(R+S+L)'!T16="",Moore!R16=""),"",'H(R+S+L)'!T16-Moore!R16)</f>
      </c>
      <c r="S16" s="341">
        <f>IF(OR('H(R+S+L)'!U16="N.P.",'H(R+S+L)'!U16="",Moore!S16=""),"",'H(R+S+L)'!U16-Moore!S16)</f>
      </c>
      <c r="T16" s="342">
        <f>IF(OR('H(R+S+L)'!V16="N.P.",'H(R+S+L)'!V16="",Moore!T16=""),"",'H(R+S+L)'!V16-Moore!T16)</f>
      </c>
      <c r="U16" s="347">
        <f>IF(OR('H(R+S+L)'!W16="N.P.",'H(R+S+L)'!W16="",Moore!U16=""),"",'H(R+S+L)'!W16-Moore!U16)</f>
      </c>
      <c r="V16" s="341">
        <f>IF(OR('H(R+S+L)'!X16="N.P.",'H(R+S+L)'!X16="",Moore!V16=""),"",'H(R+S+L)'!X16-Moore!V16)</f>
      </c>
      <c r="W16" s="341">
        <f>IF(OR('H(R+S+L)'!Y16="N.P.",'H(R+S+L)'!Y16="",Moore!W16=""),"",'H(R+S+L)'!Y16-Moore!W16)</f>
      </c>
      <c r="X16" s="341">
        <f>IF(OR('H(R+S+L)'!Z16="N.P.",'H(R+S+L)'!Z16="",Moore!X16=""),"",'H(R+S+L)'!Z16-Moore!X16)</f>
      </c>
      <c r="Y16" s="341">
        <f>IF(OR('H(R+S+L)'!AA16="N.P.",'H(R+S+L)'!AA16="",Moore!Y16=""),"",'H(R+S+L)'!AA16-Moore!Y16)</f>
      </c>
      <c r="Z16" s="341">
        <f>IF(OR('H(R+S+L)'!AB16="N.P.",'H(R+S+L)'!AB16="",Moore!Z16=""),"",'H(R+S+L)'!AB16-Moore!Z16)</f>
      </c>
      <c r="AA16" s="342">
        <f>IF(OR('H(R+S+L)'!AC16="N.P.",'H(R+S+L)'!AC16="",Moore!AA16=""),"",'H(R+S+L)'!AC16-Moore!AA16)</f>
      </c>
      <c r="AB16" s="347">
        <f>IF(OR('H(R+S+L)'!AD16="N.P.",'H(R+S+L)'!AD16="",Moore!AB16=""),"",'H(R+S+L)'!AD16-Moore!AB16)</f>
      </c>
      <c r="AC16" s="341">
        <f>IF(OR('H(R+S+L)'!AE16="N.P.",'H(R+S+L)'!AE16="",Moore!AC16=""),"",'H(R+S+L)'!AE16-Moore!AC16)</f>
      </c>
      <c r="AD16" s="341">
        <f>IF(OR('H(R+S+L)'!AF16="N.P.",'H(R+S+L)'!AF16="",Moore!AD16=""),"",'H(R+S+L)'!AF16-Moore!AD16)</f>
      </c>
      <c r="AE16" s="341">
        <f>IF(OR('H(R+S+L)'!AG16="N.P.",'H(R+S+L)'!AG16="",Moore!AE16=""),"",'H(R+S+L)'!AG16-Moore!AE16)</f>
      </c>
      <c r="AF16" s="341">
        <f>IF(OR('H(R+S+L)'!AH16="N.P.",'H(R+S+L)'!AH16="",Moore!AF16=""),"",'H(R+S+L)'!AH16-Moore!AF16)</f>
      </c>
      <c r="AG16" s="341">
        <f>IF(OR('H(R+S+L)'!AI16="N.P.",'H(R+S+L)'!AI16="",Moore!AG16=""),"",'H(R+S+L)'!AI16-Moore!AG16)</f>
      </c>
      <c r="AH16" s="341">
        <f>IF(OR('H(R+S+L)'!AJ16="N.P.",'H(R+S+L)'!AJ16="",Moore!AH16=""),"",'H(R+S+L)'!AJ16-Moore!AH16)</f>
      </c>
      <c r="AI16" s="341">
        <f>IF(OR('H(R+S+L)'!AK16="N.P.",'H(R+S+L)'!AK16="",Moore!AI16=""),"",'H(R+S+L)'!AK16-Moore!AI16)</f>
      </c>
      <c r="AJ16" s="342">
        <f>IF(OR('H(R+S+L)'!AL16="N.P.",'H(R+S+L)'!AL16="",Moore!AJ16=""),"",'H(R+S+L)'!AL16-Moore!AJ16)</f>
      </c>
      <c r="AK16" s="347">
        <f>IF(OR('H(R+S+L)'!AM16="N.P.",'H(R+S+L)'!AM16="",Moore!AK16=""),"",'H(R+S+L)'!AM16-Moore!AK16)</f>
      </c>
      <c r="AL16" s="341">
        <f>IF(OR('H(R+S+L)'!AN16="N.P.",'H(R+S+L)'!AN16="",Moore!AL16=""),"",'H(R+S+L)'!AN16-Moore!AL16)</f>
      </c>
      <c r="AM16" s="341">
        <f>IF(OR('H(R+S+L)'!AO16="N.P.",'H(R+S+L)'!AO16="",Moore!AM16=""),"",'H(R+S+L)'!AO16-Moore!AM16)</f>
      </c>
      <c r="AN16" s="341">
        <f>IF(OR('H(R+S+L)'!AP16="N.P.",'H(R+S+L)'!AP16="",Moore!AN16=""),"",'H(R+S+L)'!AP16-Moore!AN16)</f>
      </c>
      <c r="AO16" s="341">
        <f>IF(OR('H(R+S+L)'!AQ16="N.P.",'H(R+S+L)'!AQ16="",Moore!AO16=""),"",'H(R+S+L)'!AQ16-Moore!AO16)</f>
      </c>
      <c r="AP16" s="341">
        <f>IF(OR('H(R+S+L)'!AR16="N.P.",'H(R+S+L)'!AR16="",Moore!AP16=""),"",'H(R+S+L)'!AR16-Moore!AP16)</f>
      </c>
      <c r="AQ16" s="341">
        <f>IF(OR('H(R+S+L)'!AS16="N.P.",'H(R+S+L)'!AS16="",Moore!AQ16=""),"",'H(R+S+L)'!AS16-Moore!AQ16)</f>
      </c>
      <c r="AR16" s="341">
        <f>IF(OR('H(R+S+L)'!AT16="N.P.",'H(R+S+L)'!AT16="",Moore!AR16=""),"",'H(R+S+L)'!AT16-Moore!AR16)</f>
      </c>
      <c r="AS16" s="341">
        <f>IF(OR('H(R+S+L)'!AU16="N.P.",'H(R+S+L)'!AU16="",Moore!AS16=""),"",'H(R+S+L)'!AU16-Moore!AS16)</f>
      </c>
      <c r="AT16" s="341">
        <f>IF(OR('H(R+S+L)'!AV16="N.P.",'H(R+S+L)'!AV16="",Moore!AT16=""),"",'H(R+S+L)'!AV16-Moore!AT16)</f>
      </c>
      <c r="AU16" s="342">
        <f>IF(OR('H(R+S+L)'!AW16="N.P.",'H(R+S+L)'!AW16="",Moore!AU16=""),"",'H(R+S+L)'!AW16-Moore!AU16)</f>
      </c>
      <c r="AV16" s="347">
        <f>IF(OR('H(R+S+L)'!AX16="N.P.",'H(R+S+L)'!AX16="",Moore!AV16=""),"",'H(R+S+L)'!AX16-Moore!AV16)</f>
      </c>
      <c r="AW16" s="341">
        <f>IF(OR('H(R+S+L)'!AY16="N.P.",'H(R+S+L)'!AY16="",Moore!AW16=""),"",'H(R+S+L)'!AY16-Moore!AW16)</f>
      </c>
      <c r="AX16" s="341">
        <f>IF(OR('H(R+S+L)'!AZ16="N.P.",'H(R+S+L)'!AZ16="",Moore!AX16=""),"",'H(R+S+L)'!AZ16-Moore!AX16)</f>
      </c>
      <c r="AY16" s="341">
        <f>IF(OR('H(R+S+L)'!BA16="N.P.",'H(R+S+L)'!BA16="",Moore!AY16=""),"",'H(R+S+L)'!BA16-Moore!AY16)</f>
      </c>
      <c r="AZ16" s="341">
        <f>IF(OR('H(R+S+L)'!BB16="N.P.",'H(R+S+L)'!BB16="",Moore!AZ16=""),"",'H(R+S+L)'!BB16-Moore!AZ16)</f>
      </c>
      <c r="BA16" s="341">
        <f>IF(OR('H(R+S+L)'!BC16="N.P.",'H(R+S+L)'!BC16="",Moore!BA16=""),"",'H(R+S+L)'!BC16-Moore!BA16)</f>
      </c>
      <c r="BB16" s="341">
        <f>IF(OR('H(R+S+L)'!BD16="N.P.",'H(R+S+L)'!BD16="",Moore!BB16=""),"",'H(R+S+L)'!BD16-Moore!BB16)</f>
      </c>
      <c r="BC16" s="341">
        <f>IF(OR('H(R+S+L)'!BE16="N.P.",'H(R+S+L)'!BE16="",Moore!BC16=""),"",'H(R+S+L)'!BE16-Moore!BC16)</f>
      </c>
      <c r="BD16" s="341">
        <f>IF(OR('H(R+S+L)'!BF16="N.P.",'H(R+S+L)'!BF16="",Moore!BD16=""),"",'H(R+S+L)'!BF16-Moore!BD16)</f>
      </c>
      <c r="BE16" s="341">
        <f>IF(OR('H(R+S+L)'!BG16="N.P.",'H(R+S+L)'!BG16="",Moore!BE16=""),"",'H(R+S+L)'!BG16-Moore!BE16)</f>
      </c>
      <c r="BF16" s="341">
        <f>IF(OR('H(R+S+L)'!BH16="N.P.",'H(R+S+L)'!BH16="",Moore!BF16=""),"",'H(R+S+L)'!BH16-Moore!BF16)</f>
      </c>
      <c r="BG16" s="341">
        <f>IF(OR('H(R+S+L)'!BI16="N.P.",'H(R+S+L)'!BI16="",Moore!BG16=""),"",'H(R+S+L)'!BI16-Moore!BG16)</f>
      </c>
      <c r="BH16" s="342">
        <f>IF(OR('H(R+S+L)'!BJ16="N.P.",'H(R+S+L)'!BJ16="",Moore!BH16=""),"",'H(R+S+L)'!BJ16-Moore!BH16)</f>
      </c>
    </row>
    <row r="17" spans="7:60" ht="12.75">
      <c r="G17" s="788"/>
      <c r="H17" s="337">
        <f>'H(R+S+L)'!J17*1-Moore!H17</f>
        <v>-0.00040586580871604383</v>
      </c>
      <c r="I17" s="297">
        <v>2</v>
      </c>
      <c r="J17" s="298">
        <v>1.5</v>
      </c>
      <c r="K17" s="296" t="s">
        <v>8</v>
      </c>
      <c r="L17" s="695">
        <f>IF(OR('H(R+S+L)'!N17="N.P.",'H(R+S+L)'!N17="",Moore!L17=""),"",'H(R+S+L)'!N17-Moore!L17)</f>
        <v>2.5340493721159874E-06</v>
      </c>
      <c r="M17" s="347">
        <f>IF(OR('H(R+S+L)'!O17="N.P.",'H(R+S+L)'!O17="",Moore!M17=""),"",'H(R+S+L)'!O17-Moore!M17)</f>
      </c>
      <c r="N17" s="341">
        <f>IF(OR('H(R+S+L)'!P17="N.P.",'H(R+S+L)'!P17="",Moore!N17=""),"",'H(R+S+L)'!P17-Moore!N17)</f>
      </c>
      <c r="O17" s="342">
        <f>IF(OR('H(R+S+L)'!Q17="N.P.",'H(R+S+L)'!Q17="",Moore!O17=""),"",'H(R+S+L)'!Q17-Moore!O17)</f>
      </c>
      <c r="P17" s="347">
        <f>IF(OR('H(R+S+L)'!R17="N.P.",'H(R+S+L)'!R17="",Moore!P17=""),"",'H(R+S+L)'!R17-Moore!P17)</f>
      </c>
      <c r="Q17" s="341">
        <f>IF(OR('H(R+S+L)'!S17="N.P.",'H(R+S+L)'!S17="",Moore!Q17=""),"",'H(R+S+L)'!S17-Moore!Q17)</f>
      </c>
      <c r="R17" s="341">
        <f>IF(OR('H(R+S+L)'!T17="N.P.",'H(R+S+L)'!T17="",Moore!R17=""),"",'H(R+S+L)'!T17-Moore!R17)</f>
      </c>
      <c r="S17" s="341">
        <f>IF(OR('H(R+S+L)'!U17="N.P.",'H(R+S+L)'!U17="",Moore!S17=""),"",'H(R+S+L)'!U17-Moore!S17)</f>
      </c>
      <c r="T17" s="342">
        <f>IF(OR('H(R+S+L)'!V17="N.P.",'H(R+S+L)'!V17="",Moore!T17=""),"",'H(R+S+L)'!V17-Moore!T17)</f>
      </c>
      <c r="U17" s="347">
        <f>IF(OR('H(R+S+L)'!W17="N.P.",'H(R+S+L)'!W17="",Moore!U17=""),"",'H(R+S+L)'!W17-Moore!U17)</f>
      </c>
      <c r="V17" s="341">
        <f>IF(OR('H(R+S+L)'!X17="N.P.",'H(R+S+L)'!X17="",Moore!V17=""),"",'H(R+S+L)'!X17-Moore!V17)</f>
      </c>
      <c r="W17" s="341">
        <f>IF(OR('H(R+S+L)'!Y17="N.P.",'H(R+S+L)'!Y17="",Moore!W17=""),"",'H(R+S+L)'!Y17-Moore!W17)</f>
      </c>
      <c r="X17" s="341">
        <f>IF(OR('H(R+S+L)'!Z17="N.P.",'H(R+S+L)'!Z17="",Moore!X17=""),"",'H(R+S+L)'!Z17-Moore!X17)</f>
      </c>
      <c r="Y17" s="341">
        <f>IF(OR('H(R+S+L)'!AA17="N.P.",'H(R+S+L)'!AA17="",Moore!Y17=""),"",'H(R+S+L)'!AA17-Moore!Y17)</f>
      </c>
      <c r="Z17" s="341">
        <f>IF(OR('H(R+S+L)'!AB17="N.P.",'H(R+S+L)'!AB17="",Moore!Z17=""),"",'H(R+S+L)'!AB17-Moore!Z17)</f>
      </c>
      <c r="AA17" s="342">
        <f>IF(OR('H(R+S+L)'!AC17="N.P.",'H(R+S+L)'!AC17="",Moore!AA17=""),"",'H(R+S+L)'!AC17-Moore!AA17)</f>
      </c>
      <c r="AB17" s="347">
        <f>IF(OR('H(R+S+L)'!AD17="N.P.",'H(R+S+L)'!AD17="",Moore!AB17=""),"",'H(R+S+L)'!AD17-Moore!AB17)</f>
      </c>
      <c r="AC17" s="341">
        <f>IF(OR('H(R+S+L)'!AE17="N.P.",'H(R+S+L)'!AE17="",Moore!AC17=""),"",'H(R+S+L)'!AE17-Moore!AC17)</f>
      </c>
      <c r="AD17" s="341">
        <f>IF(OR('H(R+S+L)'!AF17="N.P.",'H(R+S+L)'!AF17="",Moore!AD17=""),"",'H(R+S+L)'!AF17-Moore!AD17)</f>
      </c>
      <c r="AE17" s="341">
        <f>IF(OR('H(R+S+L)'!AG17="N.P.",'H(R+S+L)'!AG17="",Moore!AE17=""),"",'H(R+S+L)'!AG17-Moore!AE17)</f>
      </c>
      <c r="AF17" s="341">
        <f>IF(OR('H(R+S+L)'!AH17="N.P.",'H(R+S+L)'!AH17="",Moore!AF17=""),"",'H(R+S+L)'!AH17-Moore!AF17)</f>
      </c>
      <c r="AG17" s="341">
        <f>IF(OR('H(R+S+L)'!AI17="N.P.",'H(R+S+L)'!AI17="",Moore!AG17=""),"",'H(R+S+L)'!AI17-Moore!AG17)</f>
      </c>
      <c r="AH17" s="341">
        <f>IF(OR('H(R+S+L)'!AJ17="N.P.",'H(R+S+L)'!AJ17="",Moore!AH17=""),"",'H(R+S+L)'!AJ17-Moore!AH17)</f>
      </c>
      <c r="AI17" s="341">
        <f>IF(OR('H(R+S+L)'!AK17="N.P.",'H(R+S+L)'!AK17="",Moore!AI17=""),"",'H(R+S+L)'!AK17-Moore!AI17)</f>
      </c>
      <c r="AJ17" s="342">
        <f>IF(OR('H(R+S+L)'!AL17="N.P.",'H(R+S+L)'!AL17="",Moore!AJ17=""),"",'H(R+S+L)'!AL17-Moore!AJ17)</f>
      </c>
      <c r="AK17" s="347">
        <f>IF(OR('H(R+S+L)'!AM17="N.P.",'H(R+S+L)'!AM17="",Moore!AK17=""),"",'H(R+S+L)'!AM17-Moore!AK17)</f>
      </c>
      <c r="AL17" s="341">
        <f>IF(OR('H(R+S+L)'!AN17="N.P.",'H(R+S+L)'!AN17="",Moore!AL17=""),"",'H(R+S+L)'!AN17-Moore!AL17)</f>
      </c>
      <c r="AM17" s="341">
        <f>IF(OR('H(R+S+L)'!AO17="N.P.",'H(R+S+L)'!AO17="",Moore!AM17=""),"",'H(R+S+L)'!AO17-Moore!AM17)</f>
      </c>
      <c r="AN17" s="341">
        <f>IF(OR('H(R+S+L)'!AP17="N.P.",'H(R+S+L)'!AP17="",Moore!AN17=""),"",'H(R+S+L)'!AP17-Moore!AN17)</f>
      </c>
      <c r="AO17" s="341">
        <f>IF(OR('H(R+S+L)'!AQ17="N.P.",'H(R+S+L)'!AQ17="",Moore!AO17=""),"",'H(R+S+L)'!AQ17-Moore!AO17)</f>
      </c>
      <c r="AP17" s="341">
        <f>IF(OR('H(R+S+L)'!AR17="N.P.",'H(R+S+L)'!AR17="",Moore!AP17=""),"",'H(R+S+L)'!AR17-Moore!AP17)</f>
      </c>
      <c r="AQ17" s="341">
        <f>IF(OR('H(R+S+L)'!AS17="N.P.",'H(R+S+L)'!AS17="",Moore!AQ17=""),"",'H(R+S+L)'!AS17-Moore!AQ17)</f>
      </c>
      <c r="AR17" s="341">
        <f>IF(OR('H(R+S+L)'!AT17="N.P.",'H(R+S+L)'!AT17="",Moore!AR17=""),"",'H(R+S+L)'!AT17-Moore!AR17)</f>
      </c>
      <c r="AS17" s="341">
        <f>IF(OR('H(R+S+L)'!AU17="N.P.",'H(R+S+L)'!AU17="",Moore!AS17=""),"",'H(R+S+L)'!AU17-Moore!AS17)</f>
      </c>
      <c r="AT17" s="341">
        <f>IF(OR('H(R+S+L)'!AV17="N.P.",'H(R+S+L)'!AV17="",Moore!AT17=""),"",'H(R+S+L)'!AV17-Moore!AT17)</f>
      </c>
      <c r="AU17" s="342">
        <f>IF(OR('H(R+S+L)'!AW17="N.P.",'H(R+S+L)'!AW17="",Moore!AU17=""),"",'H(R+S+L)'!AW17-Moore!AU17)</f>
      </c>
      <c r="AV17" s="347">
        <f>IF(OR('H(R+S+L)'!AX17="N.P.",'H(R+S+L)'!AX17="",Moore!AV17=""),"",'H(R+S+L)'!AX17-Moore!AV17)</f>
      </c>
      <c r="AW17" s="341">
        <f>IF(OR('H(R+S+L)'!AY17="N.P.",'H(R+S+L)'!AY17="",Moore!AW17=""),"",'H(R+S+L)'!AY17-Moore!AW17)</f>
      </c>
      <c r="AX17" s="341">
        <f>IF(OR('H(R+S+L)'!AZ17="N.P.",'H(R+S+L)'!AZ17="",Moore!AX17=""),"",'H(R+S+L)'!AZ17-Moore!AX17)</f>
      </c>
      <c r="AY17" s="341">
        <f>IF(OR('H(R+S+L)'!BA17="N.P.",'H(R+S+L)'!BA17="",Moore!AY17=""),"",'H(R+S+L)'!BA17-Moore!AY17)</f>
      </c>
      <c r="AZ17" s="341">
        <f>IF(OR('H(R+S+L)'!BB17="N.P.",'H(R+S+L)'!BB17="",Moore!AZ17=""),"",'H(R+S+L)'!BB17-Moore!AZ17)</f>
      </c>
      <c r="BA17" s="341">
        <f>IF(OR('H(R+S+L)'!BC17="N.P.",'H(R+S+L)'!BC17="",Moore!BA17=""),"",'H(R+S+L)'!BC17-Moore!BA17)</f>
      </c>
      <c r="BB17" s="341">
        <f>IF(OR('H(R+S+L)'!BD17="N.P.",'H(R+S+L)'!BD17="",Moore!BB17=""),"",'H(R+S+L)'!BD17-Moore!BB17)</f>
      </c>
      <c r="BC17" s="341">
        <f>IF(OR('H(R+S+L)'!BE17="N.P.",'H(R+S+L)'!BE17="",Moore!BC17=""),"",'H(R+S+L)'!BE17-Moore!BC17)</f>
      </c>
      <c r="BD17" s="341">
        <f>IF(OR('H(R+S+L)'!BF17="N.P.",'H(R+S+L)'!BF17="",Moore!BD17=""),"",'H(R+S+L)'!BF17-Moore!BD17)</f>
      </c>
      <c r="BE17" s="341">
        <f>IF(OR('H(R+S+L)'!BG17="N.P.",'H(R+S+L)'!BG17="",Moore!BE17=""),"",'H(R+S+L)'!BG17-Moore!BE17)</f>
      </c>
      <c r="BF17" s="341">
        <f>IF(OR('H(R+S+L)'!BH17="N.P.",'H(R+S+L)'!BH17="",Moore!BF17=""),"",'H(R+S+L)'!BH17-Moore!BF17)</f>
      </c>
      <c r="BG17" s="341">
        <f>IF(OR('H(R+S+L)'!BI17="N.P.",'H(R+S+L)'!BI17="",Moore!BG17=""),"",'H(R+S+L)'!BI17-Moore!BG17)</f>
      </c>
      <c r="BH17" s="342">
        <f>IF(OR('H(R+S+L)'!BJ17="N.P.",'H(R+S+L)'!BJ17="",Moore!BH17=""),"",'H(R+S+L)'!BJ17-Moore!BH17)</f>
      </c>
    </row>
    <row r="18" spans="7:60" ht="13.5" thickBot="1">
      <c r="G18" s="789"/>
      <c r="H18" s="338">
        <f>'H(R+S+L)'!J18*1-Moore!H18</f>
        <v>0.0004622138512786478</v>
      </c>
      <c r="I18" s="330">
        <v>2</v>
      </c>
      <c r="J18" s="327">
        <v>1.5</v>
      </c>
      <c r="K18" s="328" t="s">
        <v>9</v>
      </c>
      <c r="L18" s="696">
        <f>IF(OR('H(R+S+L)'!N18="N.P.",'H(R+S+L)'!N18="",Moore!L18=""),"",'H(R+S+L)'!N18-Moore!L18)</f>
        <v>-1.3419059996522265E-06</v>
      </c>
      <c r="M18" s="348">
        <f>IF(OR('H(R+S+L)'!O18="N.P.",'H(R+S+L)'!O18="",Moore!M18=""),"",'H(R+S+L)'!O18-Moore!M18)</f>
      </c>
      <c r="N18" s="343">
        <f>IF(OR('H(R+S+L)'!P18="N.P.",'H(R+S+L)'!P18="",Moore!N18=""),"",'H(R+S+L)'!P18-Moore!N18)</f>
      </c>
      <c r="O18" s="344">
        <f>IF(OR('H(R+S+L)'!Q18="N.P.",'H(R+S+L)'!Q18="",Moore!O18=""),"",'H(R+S+L)'!Q18-Moore!O18)</f>
      </c>
      <c r="P18" s="348">
        <f>IF(OR('H(R+S+L)'!R18="N.P.",'H(R+S+L)'!R18="",Moore!P18=""),"",'H(R+S+L)'!R18-Moore!P18)</f>
      </c>
      <c r="Q18" s="343">
        <f>IF(OR('H(R+S+L)'!S18="N.P.",'H(R+S+L)'!S18="",Moore!Q18=""),"",'H(R+S+L)'!S18-Moore!Q18)</f>
      </c>
      <c r="R18" s="343">
        <f>IF(OR('H(R+S+L)'!T18="N.P.",'H(R+S+L)'!T18="",Moore!R18=""),"",'H(R+S+L)'!T18-Moore!R18)</f>
      </c>
      <c r="S18" s="343">
        <f>IF(OR('H(R+S+L)'!U18="N.P.",'H(R+S+L)'!U18="",Moore!S18=""),"",'H(R+S+L)'!U18-Moore!S18)</f>
      </c>
      <c r="T18" s="344">
        <f>IF(OR('H(R+S+L)'!V18="N.P.",'H(R+S+L)'!V18="",Moore!T18=""),"",'H(R+S+L)'!V18-Moore!T18)</f>
      </c>
      <c r="U18" s="348">
        <f>IF(OR('H(R+S+L)'!W18="N.P.",'H(R+S+L)'!W18="",Moore!U18=""),"",'H(R+S+L)'!W18-Moore!U18)</f>
      </c>
      <c r="V18" s="343">
        <f>IF(OR('H(R+S+L)'!X18="N.P.",'H(R+S+L)'!X18="",Moore!V18=""),"",'H(R+S+L)'!X18-Moore!V18)</f>
      </c>
      <c r="W18" s="343">
        <f>IF(OR('H(R+S+L)'!Y18="N.P.",'H(R+S+L)'!Y18="",Moore!W18=""),"",'H(R+S+L)'!Y18-Moore!W18)</f>
      </c>
      <c r="X18" s="343">
        <f>IF(OR('H(R+S+L)'!Z18="N.P.",'H(R+S+L)'!Z18="",Moore!X18=""),"",'H(R+S+L)'!Z18-Moore!X18)</f>
      </c>
      <c r="Y18" s="343">
        <f>IF(OR('H(R+S+L)'!AA18="N.P.",'H(R+S+L)'!AA18="",Moore!Y18=""),"",'H(R+S+L)'!AA18-Moore!Y18)</f>
      </c>
      <c r="Z18" s="343">
        <f>IF(OR('H(R+S+L)'!AB18="N.P.",'H(R+S+L)'!AB18="",Moore!Z18=""),"",'H(R+S+L)'!AB18-Moore!Z18)</f>
      </c>
      <c r="AA18" s="344">
        <f>IF(OR('H(R+S+L)'!AC18="N.P.",'H(R+S+L)'!AC18="",Moore!AA18=""),"",'H(R+S+L)'!AC18-Moore!AA18)</f>
      </c>
      <c r="AB18" s="348">
        <f>IF(OR('H(R+S+L)'!AD18="N.P.",'H(R+S+L)'!AD18="",Moore!AB18=""),"",'H(R+S+L)'!AD18-Moore!AB18)</f>
      </c>
      <c r="AC18" s="343">
        <f>IF(OR('H(R+S+L)'!AE18="N.P.",'H(R+S+L)'!AE18="",Moore!AC18=""),"",'H(R+S+L)'!AE18-Moore!AC18)</f>
      </c>
      <c r="AD18" s="343">
        <f>IF(OR('H(R+S+L)'!AF18="N.P.",'H(R+S+L)'!AF18="",Moore!AD18=""),"",'H(R+S+L)'!AF18-Moore!AD18)</f>
      </c>
      <c r="AE18" s="343">
        <f>IF(OR('H(R+S+L)'!AG18="N.P.",'H(R+S+L)'!AG18="",Moore!AE18=""),"",'H(R+S+L)'!AG18-Moore!AE18)</f>
      </c>
      <c r="AF18" s="343">
        <f>IF(OR('H(R+S+L)'!AH18="N.P.",'H(R+S+L)'!AH18="",Moore!AF18=""),"",'H(R+S+L)'!AH18-Moore!AF18)</f>
      </c>
      <c r="AG18" s="343">
        <f>IF(OR('H(R+S+L)'!AI18="N.P.",'H(R+S+L)'!AI18="",Moore!AG18=""),"",'H(R+S+L)'!AI18-Moore!AG18)</f>
      </c>
      <c r="AH18" s="343">
        <f>IF(OR('H(R+S+L)'!AJ18="N.P.",'H(R+S+L)'!AJ18="",Moore!AH18=""),"",'H(R+S+L)'!AJ18-Moore!AH18)</f>
      </c>
      <c r="AI18" s="343">
        <f>IF(OR('H(R+S+L)'!AK18="N.P.",'H(R+S+L)'!AK18="",Moore!AI18=""),"",'H(R+S+L)'!AK18-Moore!AI18)</f>
      </c>
      <c r="AJ18" s="344">
        <f>IF(OR('H(R+S+L)'!AL18="N.P.",'H(R+S+L)'!AL18="",Moore!AJ18=""),"",'H(R+S+L)'!AL18-Moore!AJ18)</f>
      </c>
      <c r="AK18" s="348">
        <f>IF(OR('H(R+S+L)'!AM18="N.P.",'H(R+S+L)'!AM18="",Moore!AK18=""),"",'H(R+S+L)'!AM18-Moore!AK18)</f>
      </c>
      <c r="AL18" s="343">
        <f>IF(OR('H(R+S+L)'!AN18="N.P.",'H(R+S+L)'!AN18="",Moore!AL18=""),"",'H(R+S+L)'!AN18-Moore!AL18)</f>
      </c>
      <c r="AM18" s="343">
        <f>IF(OR('H(R+S+L)'!AO18="N.P.",'H(R+S+L)'!AO18="",Moore!AM18=""),"",'H(R+S+L)'!AO18-Moore!AM18)</f>
      </c>
      <c r="AN18" s="343">
        <f>IF(OR('H(R+S+L)'!AP18="N.P.",'H(R+S+L)'!AP18="",Moore!AN18=""),"",'H(R+S+L)'!AP18-Moore!AN18)</f>
      </c>
      <c r="AO18" s="343">
        <f>IF(OR('H(R+S+L)'!AQ18="N.P.",'H(R+S+L)'!AQ18="",Moore!AO18=""),"",'H(R+S+L)'!AQ18-Moore!AO18)</f>
      </c>
      <c r="AP18" s="343">
        <f>IF(OR('H(R+S+L)'!AR18="N.P.",'H(R+S+L)'!AR18="",Moore!AP18=""),"",'H(R+S+L)'!AR18-Moore!AP18)</f>
      </c>
      <c r="AQ18" s="343">
        <f>IF(OR('H(R+S+L)'!AS18="N.P.",'H(R+S+L)'!AS18="",Moore!AQ18=""),"",'H(R+S+L)'!AS18-Moore!AQ18)</f>
      </c>
      <c r="AR18" s="343">
        <f>IF(OR('H(R+S+L)'!AT18="N.P.",'H(R+S+L)'!AT18="",Moore!AR18=""),"",'H(R+S+L)'!AT18-Moore!AR18)</f>
      </c>
      <c r="AS18" s="343">
        <f>IF(OR('H(R+S+L)'!AU18="N.P.",'H(R+S+L)'!AU18="",Moore!AS18=""),"",'H(R+S+L)'!AU18-Moore!AS18)</f>
      </c>
      <c r="AT18" s="343">
        <f>IF(OR('H(R+S+L)'!AV18="N.P.",'H(R+S+L)'!AV18="",Moore!AT18=""),"",'H(R+S+L)'!AV18-Moore!AT18)</f>
      </c>
      <c r="AU18" s="344">
        <f>IF(OR('H(R+S+L)'!AW18="N.P.",'H(R+S+L)'!AW18="",Moore!AU18=""),"",'H(R+S+L)'!AW18-Moore!AU18)</f>
      </c>
      <c r="AV18" s="348">
        <f>IF(OR('H(R+S+L)'!AX18="N.P.",'H(R+S+L)'!AX18="",Moore!AV18=""),"",'H(R+S+L)'!AX18-Moore!AV18)</f>
      </c>
      <c r="AW18" s="343">
        <f>IF(OR('H(R+S+L)'!AY18="N.P.",'H(R+S+L)'!AY18="",Moore!AW18=""),"",'H(R+S+L)'!AY18-Moore!AW18)</f>
      </c>
      <c r="AX18" s="343">
        <f>IF(OR('H(R+S+L)'!AZ18="N.P.",'H(R+S+L)'!AZ18="",Moore!AX18=""),"",'H(R+S+L)'!AZ18-Moore!AX18)</f>
      </c>
      <c r="AY18" s="343">
        <f>IF(OR('H(R+S+L)'!BA18="N.P.",'H(R+S+L)'!BA18="",Moore!AY18=""),"",'H(R+S+L)'!BA18-Moore!AY18)</f>
      </c>
      <c r="AZ18" s="343">
        <f>IF(OR('H(R+S+L)'!BB18="N.P.",'H(R+S+L)'!BB18="",Moore!AZ18=""),"",'H(R+S+L)'!BB18-Moore!AZ18)</f>
      </c>
      <c r="BA18" s="343">
        <f>IF(OR('H(R+S+L)'!BC18="N.P.",'H(R+S+L)'!BC18="",Moore!BA18=""),"",'H(R+S+L)'!BC18-Moore!BA18)</f>
      </c>
      <c r="BB18" s="343">
        <f>IF(OR('H(R+S+L)'!BD18="N.P.",'H(R+S+L)'!BD18="",Moore!BB18=""),"",'H(R+S+L)'!BD18-Moore!BB18)</f>
      </c>
      <c r="BC18" s="343">
        <f>IF(OR('H(R+S+L)'!BE18="N.P.",'H(R+S+L)'!BE18="",Moore!BC18=""),"",'H(R+S+L)'!BE18-Moore!BC18)</f>
      </c>
      <c r="BD18" s="343">
        <f>IF(OR('H(R+S+L)'!BF18="N.P.",'H(R+S+L)'!BF18="",Moore!BD18=""),"",'H(R+S+L)'!BF18-Moore!BD18)</f>
      </c>
      <c r="BE18" s="343">
        <f>IF(OR('H(R+S+L)'!BG18="N.P.",'H(R+S+L)'!BG18="",Moore!BE18=""),"",'H(R+S+L)'!BG18-Moore!BE18)</f>
      </c>
      <c r="BF18" s="343">
        <f>IF(OR('H(R+S+L)'!BH18="N.P.",'H(R+S+L)'!BH18="",Moore!BF18=""),"",'H(R+S+L)'!BH18-Moore!BF18)</f>
      </c>
      <c r="BG18" s="343">
        <f>IF(OR('H(R+S+L)'!BI18="N.P.",'H(R+S+L)'!BI18="",Moore!BG18=""),"",'H(R+S+L)'!BI18-Moore!BG18)</f>
      </c>
      <c r="BH18" s="344">
        <f>IF(OR('H(R+S+L)'!BJ18="N.P.",'H(R+S+L)'!BJ18="",Moore!BH18=""),"",'H(R+S+L)'!BJ18-Moore!BH18)</f>
      </c>
    </row>
    <row r="19" spans="7:60" ht="13.5" thickTop="1">
      <c r="G19" s="787">
        <f>SUM(H19:H23)/5</f>
        <v>-0.00019053470459766685</v>
      </c>
      <c r="H19" s="336">
        <f>'H(R+S+L)'!J19*1-Moore!H19</f>
        <v>0.000846543931402266</v>
      </c>
      <c r="I19" s="332">
        <v>3</v>
      </c>
      <c r="J19" s="333">
        <v>0.5</v>
      </c>
      <c r="K19" s="334" t="s">
        <v>7</v>
      </c>
      <c r="L19" s="697">
        <f>IF(OR('H(R+S+L)'!N19="N.P.",'H(R+S+L)'!N19="",Moore!L19=""),"",'H(R+S+L)'!N19-Moore!L19)</f>
      </c>
      <c r="M19" s="349">
        <f>IF(OR('H(R+S+L)'!O19="N.P.",'H(R+S+L)'!O19="",Moore!M19=""),"",'H(R+S+L)'!O19-Moore!M19)</f>
      </c>
      <c r="N19" s="345">
        <f>IF(OR('H(R+S+L)'!P19="N.P.",'H(R+S+L)'!P19="",Moore!N19=""),"",'H(R+S+L)'!P19-Moore!N19)</f>
        <v>-0.0008585733439758769</v>
      </c>
      <c r="O19" s="346">
        <f>IF(OR('H(R+S+L)'!Q19="N.P.",'H(R+S+L)'!Q19="",Moore!O19=""),"",'H(R+S+L)'!Q19-Moore!O19)</f>
        <v>-0.000267048921159585</v>
      </c>
      <c r="P19" s="349">
        <f>IF(OR('H(R+S+L)'!R19="N.P.",'H(R+S+L)'!R19="",Moore!P19=""),"",'H(R+S+L)'!R19-Moore!P19)</f>
      </c>
      <c r="Q19" s="345">
        <f>IF(OR('H(R+S+L)'!S19="N.P.",'H(R+S+L)'!S19="",Moore!Q19=""),"",'H(R+S+L)'!S19-Moore!Q19)</f>
      </c>
      <c r="R19" s="345">
        <f>IF(OR('H(R+S+L)'!T19="N.P.",'H(R+S+L)'!T19="",Moore!R19=""),"",'H(R+S+L)'!T19-Moore!R19)</f>
      </c>
      <c r="S19" s="345">
        <f>IF(OR('H(R+S+L)'!U19="N.P.",'H(R+S+L)'!U19="",Moore!S19=""),"",'H(R+S+L)'!U19-Moore!S19)</f>
      </c>
      <c r="T19" s="346">
        <f>IF(OR('H(R+S+L)'!V19="N.P.",'H(R+S+L)'!V19="",Moore!T19=""),"",'H(R+S+L)'!V19-Moore!T19)</f>
      </c>
      <c r="U19" s="349">
        <f>IF(OR('H(R+S+L)'!W19="N.P.",'H(R+S+L)'!W19="",Moore!U19=""),"",'H(R+S+L)'!W19-Moore!U19)</f>
      </c>
      <c r="V19" s="345">
        <f>IF(OR('H(R+S+L)'!X19="N.P.",'H(R+S+L)'!X19="",Moore!V19=""),"",'H(R+S+L)'!X19-Moore!V19)</f>
      </c>
      <c r="W19" s="345">
        <f>IF(OR('H(R+S+L)'!Y19="N.P.",'H(R+S+L)'!Y19="",Moore!W19=""),"",'H(R+S+L)'!Y19-Moore!W19)</f>
      </c>
      <c r="X19" s="345">
        <f>IF(OR('H(R+S+L)'!Z19="N.P.",'H(R+S+L)'!Z19="",Moore!X19=""),"",'H(R+S+L)'!Z19-Moore!X19)</f>
      </c>
      <c r="Y19" s="345">
        <f>IF(OR('H(R+S+L)'!AA19="N.P.",'H(R+S+L)'!AA19="",Moore!Y19=""),"",'H(R+S+L)'!AA19-Moore!Y19)</f>
      </c>
      <c r="Z19" s="345">
        <f>IF(OR('H(R+S+L)'!AB19="N.P.",'H(R+S+L)'!AB19="",Moore!Z19=""),"",'H(R+S+L)'!AB19-Moore!Z19)</f>
      </c>
      <c r="AA19" s="346">
        <f>IF(OR('H(R+S+L)'!AC19="N.P.",'H(R+S+L)'!AC19="",Moore!AA19=""),"",'H(R+S+L)'!AC19-Moore!AA19)</f>
      </c>
      <c r="AB19" s="349">
        <f>IF(OR('H(R+S+L)'!AD19="N.P.",'H(R+S+L)'!AD19="",Moore!AB19=""),"",'H(R+S+L)'!AD19-Moore!AB19)</f>
      </c>
      <c r="AC19" s="345">
        <f>IF(OR('H(R+S+L)'!AE19="N.P.",'H(R+S+L)'!AE19="",Moore!AC19=""),"",'H(R+S+L)'!AE19-Moore!AC19)</f>
      </c>
      <c r="AD19" s="345">
        <f>IF(OR('H(R+S+L)'!AF19="N.P.",'H(R+S+L)'!AF19="",Moore!AD19=""),"",'H(R+S+L)'!AF19-Moore!AD19)</f>
      </c>
      <c r="AE19" s="345">
        <f>IF(OR('H(R+S+L)'!AG19="N.P.",'H(R+S+L)'!AG19="",Moore!AE19=""),"",'H(R+S+L)'!AG19-Moore!AE19)</f>
      </c>
      <c r="AF19" s="345">
        <f>IF(OR('H(R+S+L)'!AH19="N.P.",'H(R+S+L)'!AH19="",Moore!AF19=""),"",'H(R+S+L)'!AH19-Moore!AF19)</f>
      </c>
      <c r="AG19" s="345">
        <f>IF(OR('H(R+S+L)'!AI19="N.P.",'H(R+S+L)'!AI19="",Moore!AG19=""),"",'H(R+S+L)'!AI19-Moore!AG19)</f>
      </c>
      <c r="AH19" s="345">
        <f>IF(OR('H(R+S+L)'!AJ19="N.P.",'H(R+S+L)'!AJ19="",Moore!AH19=""),"",'H(R+S+L)'!AJ19-Moore!AH19)</f>
      </c>
      <c r="AI19" s="345">
        <f>IF(OR('H(R+S+L)'!AK19="N.P.",'H(R+S+L)'!AK19="",Moore!AI19=""),"",'H(R+S+L)'!AK19-Moore!AI19)</f>
      </c>
      <c r="AJ19" s="346">
        <f>IF(OR('H(R+S+L)'!AL19="N.P.",'H(R+S+L)'!AL19="",Moore!AJ19=""),"",'H(R+S+L)'!AL19-Moore!AJ19)</f>
      </c>
      <c r="AK19" s="349">
        <f>IF(OR('H(R+S+L)'!AM19="N.P.",'H(R+S+L)'!AM19="",Moore!AK19=""),"",'H(R+S+L)'!AM19-Moore!AK19)</f>
      </c>
      <c r="AL19" s="345">
        <f>IF(OR('H(R+S+L)'!AN19="N.P.",'H(R+S+L)'!AN19="",Moore!AL19=""),"",'H(R+S+L)'!AN19-Moore!AL19)</f>
      </c>
      <c r="AM19" s="345">
        <f>IF(OR('H(R+S+L)'!AO19="N.P.",'H(R+S+L)'!AO19="",Moore!AM19=""),"",'H(R+S+L)'!AO19-Moore!AM19)</f>
      </c>
      <c r="AN19" s="345">
        <f>IF(OR('H(R+S+L)'!AP19="N.P.",'H(R+S+L)'!AP19="",Moore!AN19=""),"",'H(R+S+L)'!AP19-Moore!AN19)</f>
      </c>
      <c r="AO19" s="345">
        <f>IF(OR('H(R+S+L)'!AQ19="N.P.",'H(R+S+L)'!AQ19="",Moore!AO19=""),"",'H(R+S+L)'!AQ19-Moore!AO19)</f>
      </c>
      <c r="AP19" s="345">
        <f>IF(OR('H(R+S+L)'!AR19="N.P.",'H(R+S+L)'!AR19="",Moore!AP19=""),"",'H(R+S+L)'!AR19-Moore!AP19)</f>
      </c>
      <c r="AQ19" s="345">
        <f>IF(OR('H(R+S+L)'!AS19="N.P.",'H(R+S+L)'!AS19="",Moore!AQ19=""),"",'H(R+S+L)'!AS19-Moore!AQ19)</f>
      </c>
      <c r="AR19" s="345">
        <f>IF(OR('H(R+S+L)'!AT19="N.P.",'H(R+S+L)'!AT19="",Moore!AR19=""),"",'H(R+S+L)'!AT19-Moore!AR19)</f>
      </c>
      <c r="AS19" s="345">
        <f>IF(OR('H(R+S+L)'!AU19="N.P.",'H(R+S+L)'!AU19="",Moore!AS19=""),"",'H(R+S+L)'!AU19-Moore!AS19)</f>
      </c>
      <c r="AT19" s="345">
        <f>IF(OR('H(R+S+L)'!AV19="N.P.",'H(R+S+L)'!AV19="",Moore!AT19=""),"",'H(R+S+L)'!AV19-Moore!AT19)</f>
      </c>
      <c r="AU19" s="346">
        <f>IF(OR('H(R+S+L)'!AW19="N.P.",'H(R+S+L)'!AW19="",Moore!AU19=""),"",'H(R+S+L)'!AW19-Moore!AU19)</f>
      </c>
      <c r="AV19" s="349">
        <f>IF(OR('H(R+S+L)'!AX19="N.P.",'H(R+S+L)'!AX19="",Moore!AV19=""),"",'H(R+S+L)'!AX19-Moore!AV19)</f>
      </c>
      <c r="AW19" s="345">
        <f>IF(OR('H(R+S+L)'!AY19="N.P.",'H(R+S+L)'!AY19="",Moore!AW19=""),"",'H(R+S+L)'!AY19-Moore!AW19)</f>
      </c>
      <c r="AX19" s="345">
        <f>IF(OR('H(R+S+L)'!AZ19="N.P.",'H(R+S+L)'!AZ19="",Moore!AX19=""),"",'H(R+S+L)'!AZ19-Moore!AX19)</f>
      </c>
      <c r="AY19" s="345">
        <f>IF(OR('H(R+S+L)'!BA19="N.P.",'H(R+S+L)'!BA19="",Moore!AY19=""),"",'H(R+S+L)'!BA19-Moore!AY19)</f>
      </c>
      <c r="AZ19" s="345">
        <f>IF(OR('H(R+S+L)'!BB19="N.P.",'H(R+S+L)'!BB19="",Moore!AZ19=""),"",'H(R+S+L)'!BB19-Moore!AZ19)</f>
      </c>
      <c r="BA19" s="345">
        <f>IF(OR('H(R+S+L)'!BC19="N.P.",'H(R+S+L)'!BC19="",Moore!BA19=""),"",'H(R+S+L)'!BC19-Moore!BA19)</f>
      </c>
      <c r="BB19" s="345">
        <f>IF(OR('H(R+S+L)'!BD19="N.P.",'H(R+S+L)'!BD19="",Moore!BB19=""),"",'H(R+S+L)'!BD19-Moore!BB19)</f>
      </c>
      <c r="BC19" s="345">
        <f>IF(OR('H(R+S+L)'!BE19="N.P.",'H(R+S+L)'!BE19="",Moore!BC19=""),"",'H(R+S+L)'!BE19-Moore!BC19)</f>
      </c>
      <c r="BD19" s="345">
        <f>IF(OR('H(R+S+L)'!BF19="N.P.",'H(R+S+L)'!BF19="",Moore!BD19=""),"",'H(R+S+L)'!BF19-Moore!BD19)</f>
      </c>
      <c r="BE19" s="345">
        <f>IF(OR('H(R+S+L)'!BG19="N.P.",'H(R+S+L)'!BG19="",Moore!BE19=""),"",'H(R+S+L)'!BG19-Moore!BE19)</f>
      </c>
      <c r="BF19" s="345">
        <f>IF(OR('H(R+S+L)'!BH19="N.P.",'H(R+S+L)'!BH19="",Moore!BF19=""),"",'H(R+S+L)'!BH19-Moore!BF19)</f>
      </c>
      <c r="BG19" s="345">
        <f>IF(OR('H(R+S+L)'!BI19="N.P.",'H(R+S+L)'!BI19="",Moore!BG19=""),"",'H(R+S+L)'!BI19-Moore!BG19)</f>
      </c>
      <c r="BH19" s="346">
        <f>IF(OR('H(R+S+L)'!BJ19="N.P.",'H(R+S+L)'!BJ19="",Moore!BH19=""),"",'H(R+S+L)'!BJ19-Moore!BH19)</f>
      </c>
    </row>
    <row r="20" spans="7:60" ht="12.75">
      <c r="G20" s="788"/>
      <c r="H20" s="337">
        <f>'H(R+S+L)'!J20*1-Moore!H20</f>
        <v>-0.002498220041161403</v>
      </c>
      <c r="I20" s="297">
        <v>3</v>
      </c>
      <c r="J20" s="298">
        <v>1.5</v>
      </c>
      <c r="K20" s="296" t="s">
        <v>8</v>
      </c>
      <c r="L20" s="695">
        <f>IF(OR('H(R+S+L)'!N20="N.P.",'H(R+S+L)'!N20="",Moore!L20=""),"",'H(R+S+L)'!N20-Moore!L20)</f>
        <v>-3.970233819927671E-06</v>
      </c>
      <c r="M20" s="347">
        <f>IF(OR('H(R+S+L)'!O20="N.P.",'H(R+S+L)'!O20="",Moore!M20=""),"",'H(R+S+L)'!O20-Moore!M20)</f>
        <v>0.0005547479640881647</v>
      </c>
      <c r="N20" s="341">
        <f>IF(OR('H(R+S+L)'!P20="N.P.",'H(R+S+L)'!P20="",Moore!N20=""),"",'H(R+S+L)'!P20-Moore!N20)</f>
      </c>
      <c r="O20" s="342">
        <f>IF(OR('H(R+S+L)'!Q20="N.P.",'H(R+S+L)'!Q20="",Moore!O20=""),"",'H(R+S+L)'!Q20-Moore!O20)</f>
      </c>
      <c r="P20" s="347">
        <f>IF(OR('H(R+S+L)'!R20="N.P.",'H(R+S+L)'!R20="",Moore!P20=""),"",'H(R+S+L)'!R20-Moore!P20)</f>
      </c>
      <c r="Q20" s="341">
        <f>IF(OR('H(R+S+L)'!S20="N.P.",'H(R+S+L)'!S20="",Moore!Q20=""),"",'H(R+S+L)'!S20-Moore!Q20)</f>
      </c>
      <c r="R20" s="341">
        <f>IF(OR('H(R+S+L)'!T20="N.P.",'H(R+S+L)'!T20="",Moore!R20=""),"",'H(R+S+L)'!T20-Moore!R20)</f>
      </c>
      <c r="S20" s="341">
        <f>IF(OR('H(R+S+L)'!U20="N.P.",'H(R+S+L)'!U20="",Moore!S20=""),"",'H(R+S+L)'!U20-Moore!S20)</f>
      </c>
      <c r="T20" s="342">
        <f>IF(OR('H(R+S+L)'!V20="N.P.",'H(R+S+L)'!V20="",Moore!T20=""),"",'H(R+S+L)'!V20-Moore!T20)</f>
      </c>
      <c r="U20" s="347">
        <f>IF(OR('H(R+S+L)'!W20="N.P.",'H(R+S+L)'!W20="",Moore!U20=""),"",'H(R+S+L)'!W20-Moore!U20)</f>
      </c>
      <c r="V20" s="341">
        <f>IF(OR('H(R+S+L)'!X20="N.P.",'H(R+S+L)'!X20="",Moore!V20=""),"",'H(R+S+L)'!X20-Moore!V20)</f>
      </c>
      <c r="W20" s="341">
        <f>IF(OR('H(R+S+L)'!Y20="N.P.",'H(R+S+L)'!Y20="",Moore!W20=""),"",'H(R+S+L)'!Y20-Moore!W20)</f>
      </c>
      <c r="X20" s="341">
        <f>IF(OR('H(R+S+L)'!Z20="N.P.",'H(R+S+L)'!Z20="",Moore!X20=""),"",'H(R+S+L)'!Z20-Moore!X20)</f>
      </c>
      <c r="Y20" s="341">
        <f>IF(OR('H(R+S+L)'!AA20="N.P.",'H(R+S+L)'!AA20="",Moore!Y20=""),"",'H(R+S+L)'!AA20-Moore!Y20)</f>
      </c>
      <c r="Z20" s="341">
        <f>IF(OR('H(R+S+L)'!AB20="N.P.",'H(R+S+L)'!AB20="",Moore!Z20=""),"",'H(R+S+L)'!AB20-Moore!Z20)</f>
      </c>
      <c r="AA20" s="342">
        <f>IF(OR('H(R+S+L)'!AC20="N.P.",'H(R+S+L)'!AC20="",Moore!AA20=""),"",'H(R+S+L)'!AC20-Moore!AA20)</f>
      </c>
      <c r="AB20" s="347">
        <f>IF(OR('H(R+S+L)'!AD20="N.P.",'H(R+S+L)'!AD20="",Moore!AB20=""),"",'H(R+S+L)'!AD20-Moore!AB20)</f>
      </c>
      <c r="AC20" s="341">
        <f>IF(OR('H(R+S+L)'!AE20="N.P.",'H(R+S+L)'!AE20="",Moore!AC20=""),"",'H(R+S+L)'!AE20-Moore!AC20)</f>
      </c>
      <c r="AD20" s="341">
        <f>IF(OR('H(R+S+L)'!AF20="N.P.",'H(R+S+L)'!AF20="",Moore!AD20=""),"",'H(R+S+L)'!AF20-Moore!AD20)</f>
      </c>
      <c r="AE20" s="341">
        <f>IF(OR('H(R+S+L)'!AG20="N.P.",'H(R+S+L)'!AG20="",Moore!AE20=""),"",'H(R+S+L)'!AG20-Moore!AE20)</f>
      </c>
      <c r="AF20" s="341">
        <f>IF(OR('H(R+S+L)'!AH20="N.P.",'H(R+S+L)'!AH20="",Moore!AF20=""),"",'H(R+S+L)'!AH20-Moore!AF20)</f>
      </c>
      <c r="AG20" s="341">
        <f>IF(OR('H(R+S+L)'!AI20="N.P.",'H(R+S+L)'!AI20="",Moore!AG20=""),"",'H(R+S+L)'!AI20-Moore!AG20)</f>
      </c>
      <c r="AH20" s="341">
        <f>IF(OR('H(R+S+L)'!AJ20="N.P.",'H(R+S+L)'!AJ20="",Moore!AH20=""),"",'H(R+S+L)'!AJ20-Moore!AH20)</f>
      </c>
      <c r="AI20" s="341">
        <f>IF(OR('H(R+S+L)'!AK20="N.P.",'H(R+S+L)'!AK20="",Moore!AI20=""),"",'H(R+S+L)'!AK20-Moore!AI20)</f>
      </c>
      <c r="AJ20" s="342">
        <f>IF(OR('H(R+S+L)'!AL20="N.P.",'H(R+S+L)'!AL20="",Moore!AJ20=""),"",'H(R+S+L)'!AL20-Moore!AJ20)</f>
      </c>
      <c r="AK20" s="347">
        <f>IF(OR('H(R+S+L)'!AM20="N.P.",'H(R+S+L)'!AM20="",Moore!AK20=""),"",'H(R+S+L)'!AM20-Moore!AK20)</f>
      </c>
      <c r="AL20" s="341">
        <f>IF(OR('H(R+S+L)'!AN20="N.P.",'H(R+S+L)'!AN20="",Moore!AL20=""),"",'H(R+S+L)'!AN20-Moore!AL20)</f>
      </c>
      <c r="AM20" s="341">
        <f>IF(OR('H(R+S+L)'!AO20="N.P.",'H(R+S+L)'!AO20="",Moore!AM20=""),"",'H(R+S+L)'!AO20-Moore!AM20)</f>
      </c>
      <c r="AN20" s="341">
        <f>IF(OR('H(R+S+L)'!AP20="N.P.",'H(R+S+L)'!AP20="",Moore!AN20=""),"",'H(R+S+L)'!AP20-Moore!AN20)</f>
      </c>
      <c r="AO20" s="341">
        <f>IF(OR('H(R+S+L)'!AQ20="N.P.",'H(R+S+L)'!AQ20="",Moore!AO20=""),"",'H(R+S+L)'!AQ20-Moore!AO20)</f>
      </c>
      <c r="AP20" s="341">
        <f>IF(OR('H(R+S+L)'!AR20="N.P.",'H(R+S+L)'!AR20="",Moore!AP20=""),"",'H(R+S+L)'!AR20-Moore!AP20)</f>
      </c>
      <c r="AQ20" s="341">
        <f>IF(OR('H(R+S+L)'!AS20="N.P.",'H(R+S+L)'!AS20="",Moore!AQ20=""),"",'H(R+S+L)'!AS20-Moore!AQ20)</f>
      </c>
      <c r="AR20" s="341">
        <f>IF(OR('H(R+S+L)'!AT20="N.P.",'H(R+S+L)'!AT20="",Moore!AR20=""),"",'H(R+S+L)'!AT20-Moore!AR20)</f>
      </c>
      <c r="AS20" s="341">
        <f>IF(OR('H(R+S+L)'!AU20="N.P.",'H(R+S+L)'!AU20="",Moore!AS20=""),"",'H(R+S+L)'!AU20-Moore!AS20)</f>
      </c>
      <c r="AT20" s="341">
        <f>IF(OR('H(R+S+L)'!AV20="N.P.",'H(R+S+L)'!AV20="",Moore!AT20=""),"",'H(R+S+L)'!AV20-Moore!AT20)</f>
      </c>
      <c r="AU20" s="342">
        <f>IF(OR('H(R+S+L)'!AW20="N.P.",'H(R+S+L)'!AW20="",Moore!AU20=""),"",'H(R+S+L)'!AW20-Moore!AU20)</f>
      </c>
      <c r="AV20" s="347">
        <f>IF(OR('H(R+S+L)'!AX20="N.P.",'H(R+S+L)'!AX20="",Moore!AV20=""),"",'H(R+S+L)'!AX20-Moore!AV20)</f>
      </c>
      <c r="AW20" s="341">
        <f>IF(OR('H(R+S+L)'!AY20="N.P.",'H(R+S+L)'!AY20="",Moore!AW20=""),"",'H(R+S+L)'!AY20-Moore!AW20)</f>
      </c>
      <c r="AX20" s="341">
        <f>IF(OR('H(R+S+L)'!AZ20="N.P.",'H(R+S+L)'!AZ20="",Moore!AX20=""),"",'H(R+S+L)'!AZ20-Moore!AX20)</f>
      </c>
      <c r="AY20" s="341">
        <f>IF(OR('H(R+S+L)'!BA20="N.P.",'H(R+S+L)'!BA20="",Moore!AY20=""),"",'H(R+S+L)'!BA20-Moore!AY20)</f>
      </c>
      <c r="AZ20" s="341">
        <f>IF(OR('H(R+S+L)'!BB20="N.P.",'H(R+S+L)'!BB20="",Moore!AZ20=""),"",'H(R+S+L)'!BB20-Moore!AZ20)</f>
      </c>
      <c r="BA20" s="341">
        <f>IF(OR('H(R+S+L)'!BC20="N.P.",'H(R+S+L)'!BC20="",Moore!BA20=""),"",'H(R+S+L)'!BC20-Moore!BA20)</f>
      </c>
      <c r="BB20" s="341">
        <f>IF(OR('H(R+S+L)'!BD20="N.P.",'H(R+S+L)'!BD20="",Moore!BB20=""),"",'H(R+S+L)'!BD20-Moore!BB20)</f>
      </c>
      <c r="BC20" s="341">
        <f>IF(OR('H(R+S+L)'!BE20="N.P.",'H(R+S+L)'!BE20="",Moore!BC20=""),"",'H(R+S+L)'!BE20-Moore!BC20)</f>
      </c>
      <c r="BD20" s="341">
        <f>IF(OR('H(R+S+L)'!BF20="N.P.",'H(R+S+L)'!BF20="",Moore!BD20=""),"",'H(R+S+L)'!BF20-Moore!BD20)</f>
      </c>
      <c r="BE20" s="341">
        <f>IF(OR('H(R+S+L)'!BG20="N.P.",'H(R+S+L)'!BG20="",Moore!BE20=""),"",'H(R+S+L)'!BG20-Moore!BE20)</f>
      </c>
      <c r="BF20" s="341">
        <f>IF(OR('H(R+S+L)'!BH20="N.P.",'H(R+S+L)'!BH20="",Moore!BF20=""),"",'H(R+S+L)'!BH20-Moore!BF20)</f>
      </c>
      <c r="BG20" s="341">
        <f>IF(OR('H(R+S+L)'!BI20="N.P.",'H(R+S+L)'!BI20="",Moore!BG20=""),"",'H(R+S+L)'!BI20-Moore!BG20)</f>
      </c>
      <c r="BH20" s="342">
        <f>IF(OR('H(R+S+L)'!BJ20="N.P.",'H(R+S+L)'!BJ20="",Moore!BH20=""),"",'H(R+S+L)'!BJ20-Moore!BH20)</f>
      </c>
    </row>
    <row r="21" spans="7:60" ht="12.75">
      <c r="G21" s="788"/>
      <c r="H21" s="337">
        <f>'H(R+S+L)'!J21*1-Moore!H21</f>
        <v>0.0003226164262741804</v>
      </c>
      <c r="I21" s="297">
        <v>3</v>
      </c>
      <c r="J21" s="298">
        <v>1.5</v>
      </c>
      <c r="K21" s="296" t="s">
        <v>9</v>
      </c>
      <c r="L21" s="695">
        <f>IF(OR('H(R+S+L)'!N21="N.P.",'H(R+S+L)'!N21="",Moore!L21=""),"",'H(R+S+L)'!N21-Moore!L21)</f>
        <v>2.6266277473041555E-06</v>
      </c>
      <c r="M21" s="347">
        <f>IF(OR('H(R+S+L)'!O21="N.P.",'H(R+S+L)'!O21="",Moore!M21=""),"",'H(R+S+L)'!O21-Moore!M21)</f>
        <v>-0.0005324177573129418</v>
      </c>
      <c r="N21" s="341">
        <f>IF(OR('H(R+S+L)'!P21="N.P.",'H(R+S+L)'!P21="",Moore!N21=""),"",'H(R+S+L)'!P21-Moore!N21)</f>
      </c>
      <c r="O21" s="342">
        <f>IF(OR('H(R+S+L)'!Q21="N.P.",'H(R+S+L)'!Q21="",Moore!O21=""),"",'H(R+S+L)'!Q21-Moore!O21)</f>
      </c>
      <c r="P21" s="347">
        <f>IF(OR('H(R+S+L)'!R21="N.P.",'H(R+S+L)'!R21="",Moore!P21=""),"",'H(R+S+L)'!R21-Moore!P21)</f>
      </c>
      <c r="Q21" s="341">
        <f>IF(OR('H(R+S+L)'!S21="N.P.",'H(R+S+L)'!S21="",Moore!Q21=""),"",'H(R+S+L)'!S21-Moore!Q21)</f>
      </c>
      <c r="R21" s="341">
        <f>IF(OR('H(R+S+L)'!T21="N.P.",'H(R+S+L)'!T21="",Moore!R21=""),"",'H(R+S+L)'!T21-Moore!R21)</f>
      </c>
      <c r="S21" s="341">
        <f>IF(OR('H(R+S+L)'!U21="N.P.",'H(R+S+L)'!U21="",Moore!S21=""),"",'H(R+S+L)'!U21-Moore!S21)</f>
      </c>
      <c r="T21" s="342">
        <f>IF(OR('H(R+S+L)'!V21="N.P.",'H(R+S+L)'!V21="",Moore!T21=""),"",'H(R+S+L)'!V21-Moore!T21)</f>
      </c>
      <c r="U21" s="347">
        <f>IF(OR('H(R+S+L)'!W21="N.P.",'H(R+S+L)'!W21="",Moore!U21=""),"",'H(R+S+L)'!W21-Moore!U21)</f>
      </c>
      <c r="V21" s="341">
        <f>IF(OR('H(R+S+L)'!X21="N.P.",'H(R+S+L)'!X21="",Moore!V21=""),"",'H(R+S+L)'!X21-Moore!V21)</f>
      </c>
      <c r="W21" s="341">
        <f>IF(OR('H(R+S+L)'!Y21="N.P.",'H(R+S+L)'!Y21="",Moore!W21=""),"",'H(R+S+L)'!Y21-Moore!W21)</f>
      </c>
      <c r="X21" s="341">
        <f>IF(OR('H(R+S+L)'!Z21="N.P.",'H(R+S+L)'!Z21="",Moore!X21=""),"",'H(R+S+L)'!Z21-Moore!X21)</f>
      </c>
      <c r="Y21" s="341">
        <f>IF(OR('H(R+S+L)'!AA21="N.P.",'H(R+S+L)'!AA21="",Moore!Y21=""),"",'H(R+S+L)'!AA21-Moore!Y21)</f>
      </c>
      <c r="Z21" s="341">
        <f>IF(OR('H(R+S+L)'!AB21="N.P.",'H(R+S+L)'!AB21="",Moore!Z21=""),"",'H(R+S+L)'!AB21-Moore!Z21)</f>
      </c>
      <c r="AA21" s="342">
        <f>IF(OR('H(R+S+L)'!AC21="N.P.",'H(R+S+L)'!AC21="",Moore!AA21=""),"",'H(R+S+L)'!AC21-Moore!AA21)</f>
      </c>
      <c r="AB21" s="347">
        <f>IF(OR('H(R+S+L)'!AD21="N.P.",'H(R+S+L)'!AD21="",Moore!AB21=""),"",'H(R+S+L)'!AD21-Moore!AB21)</f>
      </c>
      <c r="AC21" s="341">
        <f>IF(OR('H(R+S+L)'!AE21="N.P.",'H(R+S+L)'!AE21="",Moore!AC21=""),"",'H(R+S+L)'!AE21-Moore!AC21)</f>
      </c>
      <c r="AD21" s="341">
        <f>IF(OR('H(R+S+L)'!AF21="N.P.",'H(R+S+L)'!AF21="",Moore!AD21=""),"",'H(R+S+L)'!AF21-Moore!AD21)</f>
      </c>
      <c r="AE21" s="341">
        <f>IF(OR('H(R+S+L)'!AG21="N.P.",'H(R+S+L)'!AG21="",Moore!AE21=""),"",'H(R+S+L)'!AG21-Moore!AE21)</f>
      </c>
      <c r="AF21" s="341">
        <f>IF(OR('H(R+S+L)'!AH21="N.P.",'H(R+S+L)'!AH21="",Moore!AF21=""),"",'H(R+S+L)'!AH21-Moore!AF21)</f>
      </c>
      <c r="AG21" s="341">
        <f>IF(OR('H(R+S+L)'!AI21="N.P.",'H(R+S+L)'!AI21="",Moore!AG21=""),"",'H(R+S+L)'!AI21-Moore!AG21)</f>
      </c>
      <c r="AH21" s="341">
        <f>IF(OR('H(R+S+L)'!AJ21="N.P.",'H(R+S+L)'!AJ21="",Moore!AH21=""),"",'H(R+S+L)'!AJ21-Moore!AH21)</f>
      </c>
      <c r="AI21" s="341">
        <f>IF(OR('H(R+S+L)'!AK21="N.P.",'H(R+S+L)'!AK21="",Moore!AI21=""),"",'H(R+S+L)'!AK21-Moore!AI21)</f>
      </c>
      <c r="AJ21" s="342">
        <f>IF(OR('H(R+S+L)'!AL21="N.P.",'H(R+S+L)'!AL21="",Moore!AJ21=""),"",'H(R+S+L)'!AL21-Moore!AJ21)</f>
      </c>
      <c r="AK21" s="347">
        <f>IF(OR('H(R+S+L)'!AM21="N.P.",'H(R+S+L)'!AM21="",Moore!AK21=""),"",'H(R+S+L)'!AM21-Moore!AK21)</f>
      </c>
      <c r="AL21" s="341">
        <f>IF(OR('H(R+S+L)'!AN21="N.P.",'H(R+S+L)'!AN21="",Moore!AL21=""),"",'H(R+S+L)'!AN21-Moore!AL21)</f>
      </c>
      <c r="AM21" s="341">
        <f>IF(OR('H(R+S+L)'!AO21="N.P.",'H(R+S+L)'!AO21="",Moore!AM21=""),"",'H(R+S+L)'!AO21-Moore!AM21)</f>
      </c>
      <c r="AN21" s="341">
        <f>IF(OR('H(R+S+L)'!AP21="N.P.",'H(R+S+L)'!AP21="",Moore!AN21=""),"",'H(R+S+L)'!AP21-Moore!AN21)</f>
      </c>
      <c r="AO21" s="341">
        <f>IF(OR('H(R+S+L)'!AQ21="N.P.",'H(R+S+L)'!AQ21="",Moore!AO21=""),"",'H(R+S+L)'!AQ21-Moore!AO21)</f>
      </c>
      <c r="AP21" s="341">
        <f>IF(OR('H(R+S+L)'!AR21="N.P.",'H(R+S+L)'!AR21="",Moore!AP21=""),"",'H(R+S+L)'!AR21-Moore!AP21)</f>
      </c>
      <c r="AQ21" s="341">
        <f>IF(OR('H(R+S+L)'!AS21="N.P.",'H(R+S+L)'!AS21="",Moore!AQ21=""),"",'H(R+S+L)'!AS21-Moore!AQ21)</f>
      </c>
      <c r="AR21" s="341">
        <f>IF(OR('H(R+S+L)'!AT21="N.P.",'H(R+S+L)'!AT21="",Moore!AR21=""),"",'H(R+S+L)'!AT21-Moore!AR21)</f>
      </c>
      <c r="AS21" s="341">
        <f>IF(OR('H(R+S+L)'!AU21="N.P.",'H(R+S+L)'!AU21="",Moore!AS21=""),"",'H(R+S+L)'!AU21-Moore!AS21)</f>
      </c>
      <c r="AT21" s="341">
        <f>IF(OR('H(R+S+L)'!AV21="N.P.",'H(R+S+L)'!AV21="",Moore!AT21=""),"",'H(R+S+L)'!AV21-Moore!AT21)</f>
      </c>
      <c r="AU21" s="342">
        <f>IF(OR('H(R+S+L)'!AW21="N.P.",'H(R+S+L)'!AW21="",Moore!AU21=""),"",'H(R+S+L)'!AW21-Moore!AU21)</f>
      </c>
      <c r="AV21" s="347">
        <f>IF(OR('H(R+S+L)'!AX21="N.P.",'H(R+S+L)'!AX21="",Moore!AV21=""),"",'H(R+S+L)'!AX21-Moore!AV21)</f>
      </c>
      <c r="AW21" s="341">
        <f>IF(OR('H(R+S+L)'!AY21="N.P.",'H(R+S+L)'!AY21="",Moore!AW21=""),"",'H(R+S+L)'!AY21-Moore!AW21)</f>
      </c>
      <c r="AX21" s="341">
        <f>IF(OR('H(R+S+L)'!AZ21="N.P.",'H(R+S+L)'!AZ21="",Moore!AX21=""),"",'H(R+S+L)'!AZ21-Moore!AX21)</f>
      </c>
      <c r="AY21" s="341">
        <f>IF(OR('H(R+S+L)'!BA21="N.P.",'H(R+S+L)'!BA21="",Moore!AY21=""),"",'H(R+S+L)'!BA21-Moore!AY21)</f>
      </c>
      <c r="AZ21" s="341">
        <f>IF(OR('H(R+S+L)'!BB21="N.P.",'H(R+S+L)'!BB21="",Moore!AZ21=""),"",'H(R+S+L)'!BB21-Moore!AZ21)</f>
      </c>
      <c r="BA21" s="341">
        <f>IF(OR('H(R+S+L)'!BC21="N.P.",'H(R+S+L)'!BC21="",Moore!BA21=""),"",'H(R+S+L)'!BC21-Moore!BA21)</f>
      </c>
      <c r="BB21" s="341">
        <f>IF(OR('H(R+S+L)'!BD21="N.P.",'H(R+S+L)'!BD21="",Moore!BB21=""),"",'H(R+S+L)'!BD21-Moore!BB21)</f>
      </c>
      <c r="BC21" s="341">
        <f>IF(OR('H(R+S+L)'!BE21="N.P.",'H(R+S+L)'!BE21="",Moore!BC21=""),"",'H(R+S+L)'!BE21-Moore!BC21)</f>
      </c>
      <c r="BD21" s="341">
        <f>IF(OR('H(R+S+L)'!BF21="N.P.",'H(R+S+L)'!BF21="",Moore!BD21=""),"",'H(R+S+L)'!BF21-Moore!BD21)</f>
      </c>
      <c r="BE21" s="341">
        <f>IF(OR('H(R+S+L)'!BG21="N.P.",'H(R+S+L)'!BG21="",Moore!BE21=""),"",'H(R+S+L)'!BG21-Moore!BE21)</f>
      </c>
      <c r="BF21" s="341">
        <f>IF(OR('H(R+S+L)'!BH21="N.P.",'H(R+S+L)'!BH21="",Moore!BF21=""),"",'H(R+S+L)'!BH21-Moore!BF21)</f>
      </c>
      <c r="BG21" s="341">
        <f>IF(OR('H(R+S+L)'!BI21="N.P.",'H(R+S+L)'!BI21="",Moore!BG21=""),"",'H(R+S+L)'!BI21-Moore!BG21)</f>
      </c>
      <c r="BH21" s="342">
        <f>IF(OR('H(R+S+L)'!BJ21="N.P.",'H(R+S+L)'!BJ21="",Moore!BH21=""),"",'H(R+S+L)'!BJ21-Moore!BH21)</f>
      </c>
    </row>
    <row r="22" spans="7:60" ht="12.75">
      <c r="G22" s="788"/>
      <c r="H22" s="337">
        <f>'H(R+S+L)'!J22*1-Moore!H22</f>
        <v>4.4160784455016255E-05</v>
      </c>
      <c r="I22" s="297">
        <v>3</v>
      </c>
      <c r="J22" s="298">
        <v>2.5</v>
      </c>
      <c r="K22" s="296" t="s">
        <v>10</v>
      </c>
      <c r="L22" s="695">
        <f>IF(OR('H(R+S+L)'!N22="N.P.",'H(R+S+L)'!N22="",Moore!L22=""),"",'H(R+S+L)'!N22-Moore!L22)</f>
      </c>
      <c r="M22" s="347">
        <f>IF(OR('H(R+S+L)'!O22="N.P.",'H(R+S+L)'!O22="",Moore!M22=""),"",'H(R+S+L)'!O22-Moore!M22)</f>
      </c>
      <c r="N22" s="341">
        <f>IF(OR('H(R+S+L)'!P22="N.P.",'H(R+S+L)'!P22="",Moore!N22=""),"",'H(R+S+L)'!P22-Moore!N22)</f>
        <v>-0.00034449840495653916</v>
      </c>
      <c r="O22" s="342">
        <f>IF(OR('H(R+S+L)'!Q22="N.P.",'H(R+S+L)'!Q22="",Moore!O22=""),"",'H(R+S+L)'!Q22-Moore!O22)</f>
      </c>
      <c r="P22" s="347">
        <f>IF(OR('H(R+S+L)'!R22="N.P.",'H(R+S+L)'!R22="",Moore!P22=""),"",'H(R+S+L)'!R22-Moore!P22)</f>
      </c>
      <c r="Q22" s="341">
        <f>IF(OR('H(R+S+L)'!S22="N.P.",'H(R+S+L)'!S22="",Moore!Q22=""),"",'H(R+S+L)'!S22-Moore!Q22)</f>
      </c>
      <c r="R22" s="341">
        <f>IF(OR('H(R+S+L)'!T22="N.P.",'H(R+S+L)'!T22="",Moore!R22=""),"",'H(R+S+L)'!T22-Moore!R22)</f>
      </c>
      <c r="S22" s="341">
        <f>IF(OR('H(R+S+L)'!U22="N.P.",'H(R+S+L)'!U22="",Moore!S22=""),"",'H(R+S+L)'!U22-Moore!S22)</f>
      </c>
      <c r="T22" s="342">
        <f>IF(OR('H(R+S+L)'!V22="N.P.",'H(R+S+L)'!V22="",Moore!T22=""),"",'H(R+S+L)'!V22-Moore!T22)</f>
      </c>
      <c r="U22" s="347">
        <f>IF(OR('H(R+S+L)'!W22="N.P.",'H(R+S+L)'!W22="",Moore!U22=""),"",'H(R+S+L)'!W22-Moore!U22)</f>
      </c>
      <c r="V22" s="341">
        <f>IF(OR('H(R+S+L)'!X22="N.P.",'H(R+S+L)'!X22="",Moore!V22=""),"",'H(R+S+L)'!X22-Moore!V22)</f>
      </c>
      <c r="W22" s="341">
        <f>IF(OR('H(R+S+L)'!Y22="N.P.",'H(R+S+L)'!Y22="",Moore!W22=""),"",'H(R+S+L)'!Y22-Moore!W22)</f>
      </c>
      <c r="X22" s="341">
        <f>IF(OR('H(R+S+L)'!Z22="N.P.",'H(R+S+L)'!Z22="",Moore!X22=""),"",'H(R+S+L)'!Z22-Moore!X22)</f>
      </c>
      <c r="Y22" s="341">
        <f>IF(OR('H(R+S+L)'!AA22="N.P.",'H(R+S+L)'!AA22="",Moore!Y22=""),"",'H(R+S+L)'!AA22-Moore!Y22)</f>
      </c>
      <c r="Z22" s="341">
        <f>IF(OR('H(R+S+L)'!AB22="N.P.",'H(R+S+L)'!AB22="",Moore!Z22=""),"",'H(R+S+L)'!AB22-Moore!Z22)</f>
      </c>
      <c r="AA22" s="342">
        <f>IF(OR('H(R+S+L)'!AC22="N.P.",'H(R+S+L)'!AC22="",Moore!AA22=""),"",'H(R+S+L)'!AC22-Moore!AA22)</f>
      </c>
      <c r="AB22" s="347">
        <f>IF(OR('H(R+S+L)'!AD22="N.P.",'H(R+S+L)'!AD22="",Moore!AB22=""),"",'H(R+S+L)'!AD22-Moore!AB22)</f>
      </c>
      <c r="AC22" s="341">
        <f>IF(OR('H(R+S+L)'!AE22="N.P.",'H(R+S+L)'!AE22="",Moore!AC22=""),"",'H(R+S+L)'!AE22-Moore!AC22)</f>
      </c>
      <c r="AD22" s="341">
        <f>IF(OR('H(R+S+L)'!AF22="N.P.",'H(R+S+L)'!AF22="",Moore!AD22=""),"",'H(R+S+L)'!AF22-Moore!AD22)</f>
      </c>
      <c r="AE22" s="341">
        <f>IF(OR('H(R+S+L)'!AG22="N.P.",'H(R+S+L)'!AG22="",Moore!AE22=""),"",'H(R+S+L)'!AG22-Moore!AE22)</f>
      </c>
      <c r="AF22" s="341">
        <f>IF(OR('H(R+S+L)'!AH22="N.P.",'H(R+S+L)'!AH22="",Moore!AF22=""),"",'H(R+S+L)'!AH22-Moore!AF22)</f>
      </c>
      <c r="AG22" s="341">
        <f>IF(OR('H(R+S+L)'!AI22="N.P.",'H(R+S+L)'!AI22="",Moore!AG22=""),"",'H(R+S+L)'!AI22-Moore!AG22)</f>
      </c>
      <c r="AH22" s="341">
        <f>IF(OR('H(R+S+L)'!AJ22="N.P.",'H(R+S+L)'!AJ22="",Moore!AH22=""),"",'H(R+S+L)'!AJ22-Moore!AH22)</f>
      </c>
      <c r="AI22" s="341">
        <f>IF(OR('H(R+S+L)'!AK22="N.P.",'H(R+S+L)'!AK22="",Moore!AI22=""),"",'H(R+S+L)'!AK22-Moore!AI22)</f>
      </c>
      <c r="AJ22" s="342">
        <f>IF(OR('H(R+S+L)'!AL22="N.P.",'H(R+S+L)'!AL22="",Moore!AJ22=""),"",'H(R+S+L)'!AL22-Moore!AJ22)</f>
      </c>
      <c r="AK22" s="347">
        <f>IF(OR('H(R+S+L)'!AM22="N.P.",'H(R+S+L)'!AM22="",Moore!AK22=""),"",'H(R+S+L)'!AM22-Moore!AK22)</f>
      </c>
      <c r="AL22" s="341">
        <f>IF(OR('H(R+S+L)'!AN22="N.P.",'H(R+S+L)'!AN22="",Moore!AL22=""),"",'H(R+S+L)'!AN22-Moore!AL22)</f>
      </c>
      <c r="AM22" s="341">
        <f>IF(OR('H(R+S+L)'!AO22="N.P.",'H(R+S+L)'!AO22="",Moore!AM22=""),"",'H(R+S+L)'!AO22-Moore!AM22)</f>
      </c>
      <c r="AN22" s="341">
        <f>IF(OR('H(R+S+L)'!AP22="N.P.",'H(R+S+L)'!AP22="",Moore!AN22=""),"",'H(R+S+L)'!AP22-Moore!AN22)</f>
      </c>
      <c r="AO22" s="341">
        <f>IF(OR('H(R+S+L)'!AQ22="N.P.",'H(R+S+L)'!AQ22="",Moore!AO22=""),"",'H(R+S+L)'!AQ22-Moore!AO22)</f>
      </c>
      <c r="AP22" s="341">
        <f>IF(OR('H(R+S+L)'!AR22="N.P.",'H(R+S+L)'!AR22="",Moore!AP22=""),"",'H(R+S+L)'!AR22-Moore!AP22)</f>
      </c>
      <c r="AQ22" s="341">
        <f>IF(OR('H(R+S+L)'!AS22="N.P.",'H(R+S+L)'!AS22="",Moore!AQ22=""),"",'H(R+S+L)'!AS22-Moore!AQ22)</f>
      </c>
      <c r="AR22" s="341">
        <f>IF(OR('H(R+S+L)'!AT22="N.P.",'H(R+S+L)'!AT22="",Moore!AR22=""),"",'H(R+S+L)'!AT22-Moore!AR22)</f>
      </c>
      <c r="AS22" s="341">
        <f>IF(OR('H(R+S+L)'!AU22="N.P.",'H(R+S+L)'!AU22="",Moore!AS22=""),"",'H(R+S+L)'!AU22-Moore!AS22)</f>
      </c>
      <c r="AT22" s="341">
        <f>IF(OR('H(R+S+L)'!AV22="N.P.",'H(R+S+L)'!AV22="",Moore!AT22=""),"",'H(R+S+L)'!AV22-Moore!AT22)</f>
      </c>
      <c r="AU22" s="342">
        <f>IF(OR('H(R+S+L)'!AW22="N.P.",'H(R+S+L)'!AW22="",Moore!AU22=""),"",'H(R+S+L)'!AW22-Moore!AU22)</f>
      </c>
      <c r="AV22" s="347">
        <f>IF(OR('H(R+S+L)'!AX22="N.P.",'H(R+S+L)'!AX22="",Moore!AV22=""),"",'H(R+S+L)'!AX22-Moore!AV22)</f>
      </c>
      <c r="AW22" s="341">
        <f>IF(OR('H(R+S+L)'!AY22="N.P.",'H(R+S+L)'!AY22="",Moore!AW22=""),"",'H(R+S+L)'!AY22-Moore!AW22)</f>
      </c>
      <c r="AX22" s="341">
        <f>IF(OR('H(R+S+L)'!AZ22="N.P.",'H(R+S+L)'!AZ22="",Moore!AX22=""),"",'H(R+S+L)'!AZ22-Moore!AX22)</f>
      </c>
      <c r="AY22" s="341">
        <f>IF(OR('H(R+S+L)'!BA22="N.P.",'H(R+S+L)'!BA22="",Moore!AY22=""),"",'H(R+S+L)'!BA22-Moore!AY22)</f>
      </c>
      <c r="AZ22" s="341">
        <f>IF(OR('H(R+S+L)'!BB22="N.P.",'H(R+S+L)'!BB22="",Moore!AZ22=""),"",'H(R+S+L)'!BB22-Moore!AZ22)</f>
      </c>
      <c r="BA22" s="341">
        <f>IF(OR('H(R+S+L)'!BC22="N.P.",'H(R+S+L)'!BC22="",Moore!BA22=""),"",'H(R+S+L)'!BC22-Moore!BA22)</f>
      </c>
      <c r="BB22" s="341">
        <f>IF(OR('H(R+S+L)'!BD22="N.P.",'H(R+S+L)'!BD22="",Moore!BB22=""),"",'H(R+S+L)'!BD22-Moore!BB22)</f>
      </c>
      <c r="BC22" s="341">
        <f>IF(OR('H(R+S+L)'!BE22="N.P.",'H(R+S+L)'!BE22="",Moore!BC22=""),"",'H(R+S+L)'!BE22-Moore!BC22)</f>
      </c>
      <c r="BD22" s="341">
        <f>IF(OR('H(R+S+L)'!BF22="N.P.",'H(R+S+L)'!BF22="",Moore!BD22=""),"",'H(R+S+L)'!BF22-Moore!BD22)</f>
      </c>
      <c r="BE22" s="341">
        <f>IF(OR('H(R+S+L)'!BG22="N.P.",'H(R+S+L)'!BG22="",Moore!BE22=""),"",'H(R+S+L)'!BG22-Moore!BE22)</f>
      </c>
      <c r="BF22" s="341">
        <f>IF(OR('H(R+S+L)'!BH22="N.P.",'H(R+S+L)'!BH22="",Moore!BF22=""),"",'H(R+S+L)'!BH22-Moore!BF22)</f>
      </c>
      <c r="BG22" s="341">
        <f>IF(OR('H(R+S+L)'!BI22="N.P.",'H(R+S+L)'!BI22="",Moore!BG22=""),"",'H(R+S+L)'!BI22-Moore!BG22)</f>
      </c>
      <c r="BH22" s="342">
        <f>IF(OR('H(R+S+L)'!BJ22="N.P.",'H(R+S+L)'!BJ22="",Moore!BH22=""),"",'H(R+S+L)'!BJ22-Moore!BH22)</f>
      </c>
    </row>
    <row r="23" spans="7:60" ht="13.5" thickBot="1">
      <c r="G23" s="789"/>
      <c r="H23" s="338">
        <f>'H(R+S+L)'!J23*1-Moore!H23</f>
        <v>0.00033222537604160607</v>
      </c>
      <c r="I23" s="330">
        <v>3</v>
      </c>
      <c r="J23" s="327">
        <v>2.5</v>
      </c>
      <c r="K23" s="328" t="s">
        <v>11</v>
      </c>
      <c r="L23" s="696">
        <f>IF(OR('H(R+S+L)'!N23="N.P.",'H(R+S+L)'!N23="",Moore!L23=""),"",'H(R+S+L)'!N23-Moore!L23)</f>
      </c>
      <c r="M23" s="348">
        <f>IF(OR('H(R+S+L)'!O23="N.P.",'H(R+S+L)'!O23="",Moore!M23=""),"",'H(R+S+L)'!O23-Moore!M23)</f>
      </c>
      <c r="N23" s="343">
        <f>IF(OR('H(R+S+L)'!P23="N.P.",'H(R+S+L)'!P23="",Moore!N23=""),"",'H(R+S+L)'!P23-Moore!N23)</f>
      </c>
      <c r="O23" s="344">
        <f>IF(OR('H(R+S+L)'!Q23="N.P.",'H(R+S+L)'!Q23="",Moore!O23=""),"",'H(R+S+L)'!Q23-Moore!O23)</f>
        <v>-0.0003651798242572113</v>
      </c>
      <c r="P23" s="348">
        <f>IF(OR('H(R+S+L)'!R23="N.P.",'H(R+S+L)'!R23="",Moore!P23=""),"",'H(R+S+L)'!R23-Moore!P23)</f>
      </c>
      <c r="Q23" s="343">
        <f>IF(OR('H(R+S+L)'!S23="N.P.",'H(R+S+L)'!S23="",Moore!Q23=""),"",'H(R+S+L)'!S23-Moore!Q23)</f>
      </c>
      <c r="R23" s="343">
        <f>IF(OR('H(R+S+L)'!T23="N.P.",'H(R+S+L)'!T23="",Moore!R23=""),"",'H(R+S+L)'!T23-Moore!R23)</f>
      </c>
      <c r="S23" s="343">
        <f>IF(OR('H(R+S+L)'!U23="N.P.",'H(R+S+L)'!U23="",Moore!S23=""),"",'H(R+S+L)'!U23-Moore!S23)</f>
      </c>
      <c r="T23" s="344">
        <f>IF(OR('H(R+S+L)'!V23="N.P.",'H(R+S+L)'!V23="",Moore!T23=""),"",'H(R+S+L)'!V23-Moore!T23)</f>
      </c>
      <c r="U23" s="348">
        <f>IF(OR('H(R+S+L)'!W23="N.P.",'H(R+S+L)'!W23="",Moore!U23=""),"",'H(R+S+L)'!W23-Moore!U23)</f>
      </c>
      <c r="V23" s="343">
        <f>IF(OR('H(R+S+L)'!X23="N.P.",'H(R+S+L)'!X23="",Moore!V23=""),"",'H(R+S+L)'!X23-Moore!V23)</f>
      </c>
      <c r="W23" s="343">
        <f>IF(OR('H(R+S+L)'!Y23="N.P.",'H(R+S+L)'!Y23="",Moore!W23=""),"",'H(R+S+L)'!Y23-Moore!W23)</f>
      </c>
      <c r="X23" s="343">
        <f>IF(OR('H(R+S+L)'!Z23="N.P.",'H(R+S+L)'!Z23="",Moore!X23=""),"",'H(R+S+L)'!Z23-Moore!X23)</f>
      </c>
      <c r="Y23" s="343">
        <f>IF(OR('H(R+S+L)'!AA23="N.P.",'H(R+S+L)'!AA23="",Moore!Y23=""),"",'H(R+S+L)'!AA23-Moore!Y23)</f>
      </c>
      <c r="Z23" s="343">
        <f>IF(OR('H(R+S+L)'!AB23="N.P.",'H(R+S+L)'!AB23="",Moore!Z23=""),"",'H(R+S+L)'!AB23-Moore!Z23)</f>
      </c>
      <c r="AA23" s="344">
        <f>IF(OR('H(R+S+L)'!AC23="N.P.",'H(R+S+L)'!AC23="",Moore!AA23=""),"",'H(R+S+L)'!AC23-Moore!AA23)</f>
      </c>
      <c r="AB23" s="348">
        <f>IF(OR('H(R+S+L)'!AD23="N.P.",'H(R+S+L)'!AD23="",Moore!AB23=""),"",'H(R+S+L)'!AD23-Moore!AB23)</f>
      </c>
      <c r="AC23" s="343">
        <f>IF(OR('H(R+S+L)'!AE23="N.P.",'H(R+S+L)'!AE23="",Moore!AC23=""),"",'H(R+S+L)'!AE23-Moore!AC23)</f>
      </c>
      <c r="AD23" s="343">
        <f>IF(OR('H(R+S+L)'!AF23="N.P.",'H(R+S+L)'!AF23="",Moore!AD23=""),"",'H(R+S+L)'!AF23-Moore!AD23)</f>
      </c>
      <c r="AE23" s="343">
        <f>IF(OR('H(R+S+L)'!AG23="N.P.",'H(R+S+L)'!AG23="",Moore!AE23=""),"",'H(R+S+L)'!AG23-Moore!AE23)</f>
      </c>
      <c r="AF23" s="343">
        <f>IF(OR('H(R+S+L)'!AH23="N.P.",'H(R+S+L)'!AH23="",Moore!AF23=""),"",'H(R+S+L)'!AH23-Moore!AF23)</f>
      </c>
      <c r="AG23" s="343">
        <f>IF(OR('H(R+S+L)'!AI23="N.P.",'H(R+S+L)'!AI23="",Moore!AG23=""),"",'H(R+S+L)'!AI23-Moore!AG23)</f>
      </c>
      <c r="AH23" s="343">
        <f>IF(OR('H(R+S+L)'!AJ23="N.P.",'H(R+S+L)'!AJ23="",Moore!AH23=""),"",'H(R+S+L)'!AJ23-Moore!AH23)</f>
      </c>
      <c r="AI23" s="343">
        <f>IF(OR('H(R+S+L)'!AK23="N.P.",'H(R+S+L)'!AK23="",Moore!AI23=""),"",'H(R+S+L)'!AK23-Moore!AI23)</f>
      </c>
      <c r="AJ23" s="344">
        <f>IF(OR('H(R+S+L)'!AL23="N.P.",'H(R+S+L)'!AL23="",Moore!AJ23=""),"",'H(R+S+L)'!AL23-Moore!AJ23)</f>
      </c>
      <c r="AK23" s="348">
        <f>IF(OR('H(R+S+L)'!AM23="N.P.",'H(R+S+L)'!AM23="",Moore!AK23=""),"",'H(R+S+L)'!AM23-Moore!AK23)</f>
      </c>
      <c r="AL23" s="343">
        <f>IF(OR('H(R+S+L)'!AN23="N.P.",'H(R+S+L)'!AN23="",Moore!AL23=""),"",'H(R+S+L)'!AN23-Moore!AL23)</f>
      </c>
      <c r="AM23" s="343">
        <f>IF(OR('H(R+S+L)'!AO23="N.P.",'H(R+S+L)'!AO23="",Moore!AM23=""),"",'H(R+S+L)'!AO23-Moore!AM23)</f>
      </c>
      <c r="AN23" s="343">
        <f>IF(OR('H(R+S+L)'!AP23="N.P.",'H(R+S+L)'!AP23="",Moore!AN23=""),"",'H(R+S+L)'!AP23-Moore!AN23)</f>
      </c>
      <c r="AO23" s="343">
        <f>IF(OR('H(R+S+L)'!AQ23="N.P.",'H(R+S+L)'!AQ23="",Moore!AO23=""),"",'H(R+S+L)'!AQ23-Moore!AO23)</f>
      </c>
      <c r="AP23" s="343">
        <f>IF(OR('H(R+S+L)'!AR23="N.P.",'H(R+S+L)'!AR23="",Moore!AP23=""),"",'H(R+S+L)'!AR23-Moore!AP23)</f>
      </c>
      <c r="AQ23" s="343">
        <f>IF(OR('H(R+S+L)'!AS23="N.P.",'H(R+S+L)'!AS23="",Moore!AQ23=""),"",'H(R+S+L)'!AS23-Moore!AQ23)</f>
      </c>
      <c r="AR23" s="343">
        <f>IF(OR('H(R+S+L)'!AT23="N.P.",'H(R+S+L)'!AT23="",Moore!AR23=""),"",'H(R+S+L)'!AT23-Moore!AR23)</f>
      </c>
      <c r="AS23" s="343">
        <f>IF(OR('H(R+S+L)'!AU23="N.P.",'H(R+S+L)'!AU23="",Moore!AS23=""),"",'H(R+S+L)'!AU23-Moore!AS23)</f>
      </c>
      <c r="AT23" s="343">
        <f>IF(OR('H(R+S+L)'!AV23="N.P.",'H(R+S+L)'!AV23="",Moore!AT23=""),"",'H(R+S+L)'!AV23-Moore!AT23)</f>
      </c>
      <c r="AU23" s="344">
        <f>IF(OR('H(R+S+L)'!AW23="N.P.",'H(R+S+L)'!AW23="",Moore!AU23=""),"",'H(R+S+L)'!AW23-Moore!AU23)</f>
      </c>
      <c r="AV23" s="348">
        <f>IF(OR('H(R+S+L)'!AX23="N.P.",'H(R+S+L)'!AX23="",Moore!AV23=""),"",'H(R+S+L)'!AX23-Moore!AV23)</f>
      </c>
      <c r="AW23" s="343">
        <f>IF(OR('H(R+S+L)'!AY23="N.P.",'H(R+S+L)'!AY23="",Moore!AW23=""),"",'H(R+S+L)'!AY23-Moore!AW23)</f>
      </c>
      <c r="AX23" s="343">
        <f>IF(OR('H(R+S+L)'!AZ23="N.P.",'H(R+S+L)'!AZ23="",Moore!AX23=""),"",'H(R+S+L)'!AZ23-Moore!AX23)</f>
      </c>
      <c r="AY23" s="343">
        <f>IF(OR('H(R+S+L)'!BA23="N.P.",'H(R+S+L)'!BA23="",Moore!AY23=""),"",'H(R+S+L)'!BA23-Moore!AY23)</f>
      </c>
      <c r="AZ23" s="343">
        <f>IF(OR('H(R+S+L)'!BB23="N.P.",'H(R+S+L)'!BB23="",Moore!AZ23=""),"",'H(R+S+L)'!BB23-Moore!AZ23)</f>
      </c>
      <c r="BA23" s="343">
        <f>IF(OR('H(R+S+L)'!BC23="N.P.",'H(R+S+L)'!BC23="",Moore!BA23=""),"",'H(R+S+L)'!BC23-Moore!BA23)</f>
      </c>
      <c r="BB23" s="343">
        <f>IF(OR('H(R+S+L)'!BD23="N.P.",'H(R+S+L)'!BD23="",Moore!BB23=""),"",'H(R+S+L)'!BD23-Moore!BB23)</f>
      </c>
      <c r="BC23" s="343">
        <f>IF(OR('H(R+S+L)'!BE23="N.P.",'H(R+S+L)'!BE23="",Moore!BC23=""),"",'H(R+S+L)'!BE23-Moore!BC23)</f>
      </c>
      <c r="BD23" s="343">
        <f>IF(OR('H(R+S+L)'!BF23="N.P.",'H(R+S+L)'!BF23="",Moore!BD23=""),"",'H(R+S+L)'!BF23-Moore!BD23)</f>
      </c>
      <c r="BE23" s="343">
        <f>IF(OR('H(R+S+L)'!BG23="N.P.",'H(R+S+L)'!BG23="",Moore!BE23=""),"",'H(R+S+L)'!BG23-Moore!BE23)</f>
      </c>
      <c r="BF23" s="343">
        <f>IF(OR('H(R+S+L)'!BH23="N.P.",'H(R+S+L)'!BH23="",Moore!BF23=""),"",'H(R+S+L)'!BH23-Moore!BF23)</f>
      </c>
      <c r="BG23" s="343">
        <f>IF(OR('H(R+S+L)'!BI23="N.P.",'H(R+S+L)'!BI23="",Moore!BG23=""),"",'H(R+S+L)'!BI23-Moore!BG23)</f>
      </c>
      <c r="BH23" s="344">
        <f>IF(OR('H(R+S+L)'!BJ23="N.P.",'H(R+S+L)'!BJ23="",Moore!BH23=""),"",'H(R+S+L)'!BJ23-Moore!BH23)</f>
      </c>
    </row>
    <row r="24" spans="7:60" ht="13.5" thickTop="1">
      <c r="G24" s="787">
        <f>SUM(H24:H30)/7</f>
        <v>-0.0018047905676732106</v>
      </c>
      <c r="H24" s="336">
        <f>'H(R+S+L)'!J24*1-Moore!H24</f>
        <v>-0.0037365437601692975</v>
      </c>
      <c r="I24" s="332">
        <v>4</v>
      </c>
      <c r="J24" s="333">
        <v>0.5</v>
      </c>
      <c r="K24" s="334" t="s">
        <v>7</v>
      </c>
      <c r="L24" s="697">
        <f>IF(OR('H(R+S+L)'!N24="N.P.",'H(R+S+L)'!N24="",Moore!L24=""),"",'H(R+S+L)'!N24-Moore!L24)</f>
      </c>
      <c r="M24" s="349">
        <f>IF(OR('H(R+S+L)'!O24="N.P.",'H(R+S+L)'!O24="",Moore!M24=""),"",'H(R+S+L)'!O24-Moore!M24)</f>
      </c>
      <c r="N24" s="345">
        <f>IF(OR('H(R+S+L)'!P24="N.P.",'H(R+S+L)'!P24="",Moore!N24=""),"",'H(R+S+L)'!P24-Moore!N24)</f>
        <v>0.0005490718058354105</v>
      </c>
      <c r="O24" s="346">
        <f>IF(OR('H(R+S+L)'!Q24="N.P.",'H(R+S+L)'!Q24="",Moore!O24=""),"",'H(R+S+L)'!Q24-Moore!O24)</f>
        <v>0.0009349651045340579</v>
      </c>
      <c r="P24" s="349">
        <f>IF(OR('H(R+S+L)'!R24="N.P.",'H(R+S+L)'!R24="",Moore!P24=""),"",'H(R+S+L)'!R24-Moore!P24)</f>
      </c>
      <c r="Q24" s="345">
        <f>IF(OR('H(R+S+L)'!S24="N.P.",'H(R+S+L)'!S24="",Moore!Q24=""),"",'H(R+S+L)'!S24-Moore!Q24)</f>
        <v>0.005567715958022745</v>
      </c>
      <c r="R24" s="345">
        <f>IF(OR('H(R+S+L)'!T24="N.P.",'H(R+S+L)'!T24="",Moore!R24=""),"",'H(R+S+L)'!T24-Moore!R24)</f>
        <v>0.015655596478609368</v>
      </c>
      <c r="S24" s="345">
        <f>IF(OR('H(R+S+L)'!U24="N.P.",'H(R+S+L)'!U24="",Moore!S24=""),"",'H(R+S+L)'!U24-Moore!S24)</f>
      </c>
      <c r="T24" s="346">
        <f>IF(OR('H(R+S+L)'!V24="N.P.",'H(R+S+L)'!V24="",Moore!T24=""),"",'H(R+S+L)'!V24-Moore!T24)</f>
      </c>
      <c r="U24" s="349">
        <f>IF(OR('H(R+S+L)'!W24="N.P.",'H(R+S+L)'!W24="",Moore!U24=""),"",'H(R+S+L)'!W24-Moore!U24)</f>
      </c>
      <c r="V24" s="345">
        <f>IF(OR('H(R+S+L)'!X24="N.P.",'H(R+S+L)'!X24="",Moore!V24=""),"",'H(R+S+L)'!X24-Moore!V24)</f>
      </c>
      <c r="W24" s="345">
        <f>IF(OR('H(R+S+L)'!Y24="N.P.",'H(R+S+L)'!Y24="",Moore!W24=""),"",'H(R+S+L)'!Y24-Moore!W24)</f>
      </c>
      <c r="X24" s="345">
        <f>IF(OR('H(R+S+L)'!Z24="N.P.",'H(R+S+L)'!Z24="",Moore!X24=""),"",'H(R+S+L)'!Z24-Moore!X24)</f>
      </c>
      <c r="Y24" s="345">
        <f>IF(OR('H(R+S+L)'!AA24="N.P.",'H(R+S+L)'!AA24="",Moore!Y24=""),"",'H(R+S+L)'!AA24-Moore!Y24)</f>
      </c>
      <c r="Z24" s="345">
        <f>IF(OR('H(R+S+L)'!AB24="N.P.",'H(R+S+L)'!AB24="",Moore!Z24=""),"",'H(R+S+L)'!AB24-Moore!Z24)</f>
      </c>
      <c r="AA24" s="346">
        <f>IF(OR('H(R+S+L)'!AC24="N.P.",'H(R+S+L)'!AC24="",Moore!AA24=""),"",'H(R+S+L)'!AC24-Moore!AA24)</f>
      </c>
      <c r="AB24" s="349">
        <f>IF(OR('H(R+S+L)'!AD24="N.P.",'H(R+S+L)'!AD24="",Moore!AB24=""),"",'H(R+S+L)'!AD24-Moore!AB24)</f>
      </c>
      <c r="AC24" s="345">
        <f>IF(OR('H(R+S+L)'!AE24="N.P.",'H(R+S+L)'!AE24="",Moore!AC24=""),"",'H(R+S+L)'!AE24-Moore!AC24)</f>
      </c>
      <c r="AD24" s="345">
        <f>IF(OR('H(R+S+L)'!AF24="N.P.",'H(R+S+L)'!AF24="",Moore!AD24=""),"",'H(R+S+L)'!AF24-Moore!AD24)</f>
      </c>
      <c r="AE24" s="345">
        <f>IF(OR('H(R+S+L)'!AG24="N.P.",'H(R+S+L)'!AG24="",Moore!AE24=""),"",'H(R+S+L)'!AG24-Moore!AE24)</f>
      </c>
      <c r="AF24" s="345">
        <f>IF(OR('H(R+S+L)'!AH24="N.P.",'H(R+S+L)'!AH24="",Moore!AF24=""),"",'H(R+S+L)'!AH24-Moore!AF24)</f>
      </c>
      <c r="AG24" s="345">
        <f>IF(OR('H(R+S+L)'!AI24="N.P.",'H(R+S+L)'!AI24="",Moore!AG24=""),"",'H(R+S+L)'!AI24-Moore!AG24)</f>
      </c>
      <c r="AH24" s="345">
        <f>IF(OR('H(R+S+L)'!AJ24="N.P.",'H(R+S+L)'!AJ24="",Moore!AH24=""),"",'H(R+S+L)'!AJ24-Moore!AH24)</f>
      </c>
      <c r="AI24" s="345">
        <f>IF(OR('H(R+S+L)'!AK24="N.P.",'H(R+S+L)'!AK24="",Moore!AI24=""),"",'H(R+S+L)'!AK24-Moore!AI24)</f>
      </c>
      <c r="AJ24" s="346">
        <f>IF(OR('H(R+S+L)'!AL24="N.P.",'H(R+S+L)'!AL24="",Moore!AJ24=""),"",'H(R+S+L)'!AL24-Moore!AJ24)</f>
      </c>
      <c r="AK24" s="349">
        <f>IF(OR('H(R+S+L)'!AM24="N.P.",'H(R+S+L)'!AM24="",Moore!AK24=""),"",'H(R+S+L)'!AM24-Moore!AK24)</f>
      </c>
      <c r="AL24" s="345">
        <f>IF(OR('H(R+S+L)'!AN24="N.P.",'H(R+S+L)'!AN24="",Moore!AL24=""),"",'H(R+S+L)'!AN24-Moore!AL24)</f>
      </c>
      <c r="AM24" s="345">
        <f>IF(OR('H(R+S+L)'!AO24="N.P.",'H(R+S+L)'!AO24="",Moore!AM24=""),"",'H(R+S+L)'!AO24-Moore!AM24)</f>
      </c>
      <c r="AN24" s="345">
        <f>IF(OR('H(R+S+L)'!AP24="N.P.",'H(R+S+L)'!AP24="",Moore!AN24=""),"",'H(R+S+L)'!AP24-Moore!AN24)</f>
      </c>
      <c r="AO24" s="345">
        <f>IF(OR('H(R+S+L)'!AQ24="N.P.",'H(R+S+L)'!AQ24="",Moore!AO24=""),"",'H(R+S+L)'!AQ24-Moore!AO24)</f>
      </c>
      <c r="AP24" s="345">
        <f>IF(OR('H(R+S+L)'!AR24="N.P.",'H(R+S+L)'!AR24="",Moore!AP24=""),"",'H(R+S+L)'!AR24-Moore!AP24)</f>
      </c>
      <c r="AQ24" s="345">
        <f>IF(OR('H(R+S+L)'!AS24="N.P.",'H(R+S+L)'!AS24="",Moore!AQ24=""),"",'H(R+S+L)'!AS24-Moore!AQ24)</f>
      </c>
      <c r="AR24" s="345">
        <f>IF(OR('H(R+S+L)'!AT24="N.P.",'H(R+S+L)'!AT24="",Moore!AR24=""),"",'H(R+S+L)'!AT24-Moore!AR24)</f>
      </c>
      <c r="AS24" s="345">
        <f>IF(OR('H(R+S+L)'!AU24="N.P.",'H(R+S+L)'!AU24="",Moore!AS24=""),"",'H(R+S+L)'!AU24-Moore!AS24)</f>
      </c>
      <c r="AT24" s="345">
        <f>IF(OR('H(R+S+L)'!AV24="N.P.",'H(R+S+L)'!AV24="",Moore!AT24=""),"",'H(R+S+L)'!AV24-Moore!AT24)</f>
      </c>
      <c r="AU24" s="346">
        <f>IF(OR('H(R+S+L)'!AW24="N.P.",'H(R+S+L)'!AW24="",Moore!AU24=""),"",'H(R+S+L)'!AW24-Moore!AU24)</f>
      </c>
      <c r="AV24" s="349">
        <f>IF(OR('H(R+S+L)'!AX24="N.P.",'H(R+S+L)'!AX24="",Moore!AV24=""),"",'H(R+S+L)'!AX24-Moore!AV24)</f>
      </c>
      <c r="AW24" s="345">
        <f>IF(OR('H(R+S+L)'!AY24="N.P.",'H(R+S+L)'!AY24="",Moore!AW24=""),"",'H(R+S+L)'!AY24-Moore!AW24)</f>
      </c>
      <c r="AX24" s="345">
        <f>IF(OR('H(R+S+L)'!AZ24="N.P.",'H(R+S+L)'!AZ24="",Moore!AX24=""),"",'H(R+S+L)'!AZ24-Moore!AX24)</f>
      </c>
      <c r="AY24" s="345">
        <f>IF(OR('H(R+S+L)'!BA24="N.P.",'H(R+S+L)'!BA24="",Moore!AY24=""),"",'H(R+S+L)'!BA24-Moore!AY24)</f>
      </c>
      <c r="AZ24" s="345">
        <f>IF(OR('H(R+S+L)'!BB24="N.P.",'H(R+S+L)'!BB24="",Moore!AZ24=""),"",'H(R+S+L)'!BB24-Moore!AZ24)</f>
      </c>
      <c r="BA24" s="345">
        <f>IF(OR('H(R+S+L)'!BC24="N.P.",'H(R+S+L)'!BC24="",Moore!BA24=""),"",'H(R+S+L)'!BC24-Moore!BA24)</f>
      </c>
      <c r="BB24" s="345">
        <f>IF(OR('H(R+S+L)'!BD24="N.P.",'H(R+S+L)'!BD24="",Moore!BB24=""),"",'H(R+S+L)'!BD24-Moore!BB24)</f>
      </c>
      <c r="BC24" s="345">
        <f>IF(OR('H(R+S+L)'!BE24="N.P.",'H(R+S+L)'!BE24="",Moore!BC24=""),"",'H(R+S+L)'!BE24-Moore!BC24)</f>
      </c>
      <c r="BD24" s="345">
        <f>IF(OR('H(R+S+L)'!BF24="N.P.",'H(R+S+L)'!BF24="",Moore!BD24=""),"",'H(R+S+L)'!BF24-Moore!BD24)</f>
      </c>
      <c r="BE24" s="345">
        <f>IF(OR('H(R+S+L)'!BG24="N.P.",'H(R+S+L)'!BG24="",Moore!BE24=""),"",'H(R+S+L)'!BG24-Moore!BE24)</f>
      </c>
      <c r="BF24" s="345">
        <f>IF(OR('H(R+S+L)'!BH24="N.P.",'H(R+S+L)'!BH24="",Moore!BF24=""),"",'H(R+S+L)'!BH24-Moore!BF24)</f>
      </c>
      <c r="BG24" s="345">
        <f>IF(OR('H(R+S+L)'!BI24="N.P.",'H(R+S+L)'!BI24="",Moore!BG24=""),"",'H(R+S+L)'!BI24-Moore!BG24)</f>
      </c>
      <c r="BH24" s="346">
        <f>IF(OR('H(R+S+L)'!BJ24="N.P.",'H(R+S+L)'!BJ24="",Moore!BH24=""),"",'H(R+S+L)'!BJ24-Moore!BH24)</f>
      </c>
    </row>
    <row r="25" spans="7:60" ht="12.75">
      <c r="G25" s="788"/>
      <c r="H25" s="337">
        <f>'H(R+S+L)'!J25*1-Moore!H25</f>
        <v>-0.005955554792308249</v>
      </c>
      <c r="I25" s="297">
        <v>4</v>
      </c>
      <c r="J25" s="298">
        <v>1.5</v>
      </c>
      <c r="K25" s="296" t="s">
        <v>8</v>
      </c>
      <c r="L25" s="695">
        <f>IF(OR('H(R+S+L)'!N25="N.P.",'H(R+S+L)'!N25="",Moore!L25=""),"",'H(R+S+L)'!N25-Moore!L25)</f>
        <v>-3.6562124705596943E-06</v>
      </c>
      <c r="M25" s="347">
        <f>IF(OR('H(R+S+L)'!O25="N.P.",'H(R+S+L)'!O25="",Moore!M25=""),"",'H(R+S+L)'!O25-Moore!M25)</f>
        <v>0.0013082007089906256</v>
      </c>
      <c r="N25" s="341">
        <f>IF(OR('H(R+S+L)'!P25="N.P.",'H(R+S+L)'!P25="",Moore!N25=""),"",'H(R+S+L)'!P25-Moore!N25)</f>
      </c>
      <c r="O25" s="342">
        <f>IF(OR('H(R+S+L)'!Q25="N.P.",'H(R+S+L)'!Q25="",Moore!O25=""),"",'H(R+S+L)'!Q25-Moore!O25)</f>
      </c>
      <c r="P25" s="347">
        <f>IF(OR('H(R+S+L)'!R25="N.P.",'H(R+S+L)'!R25="",Moore!P25=""),"",'H(R+S+L)'!R25-Moore!P25)</f>
        <v>0.022278810403804528</v>
      </c>
      <c r="Q25" s="341">
        <f>IF(OR('H(R+S+L)'!S25="N.P.",'H(R+S+L)'!S25="",Moore!Q25=""),"",'H(R+S+L)'!S25-Moore!Q25)</f>
      </c>
      <c r="R25" s="341">
        <f>IF(OR('H(R+S+L)'!T25="N.P.",'H(R+S+L)'!T25="",Moore!R25=""),"",'H(R+S+L)'!T25-Moore!R25)</f>
      </c>
      <c r="S25" s="341">
        <f>IF(OR('H(R+S+L)'!U25="N.P.",'H(R+S+L)'!U25="",Moore!S25=""),"",'H(R+S+L)'!U25-Moore!S25)</f>
      </c>
      <c r="T25" s="342">
        <f>IF(OR('H(R+S+L)'!V25="N.P.",'H(R+S+L)'!V25="",Moore!T25=""),"",'H(R+S+L)'!V25-Moore!T25)</f>
      </c>
      <c r="U25" s="347">
        <f>IF(OR('H(R+S+L)'!W25="N.P.",'H(R+S+L)'!W25="",Moore!U25=""),"",'H(R+S+L)'!W25-Moore!U25)</f>
      </c>
      <c r="V25" s="341">
        <f>IF(OR('H(R+S+L)'!X25="N.P.",'H(R+S+L)'!X25="",Moore!V25=""),"",'H(R+S+L)'!X25-Moore!V25)</f>
      </c>
      <c r="W25" s="341">
        <f>IF(OR('H(R+S+L)'!Y25="N.P.",'H(R+S+L)'!Y25="",Moore!W25=""),"",'H(R+S+L)'!Y25-Moore!W25)</f>
      </c>
      <c r="X25" s="341">
        <f>IF(OR('H(R+S+L)'!Z25="N.P.",'H(R+S+L)'!Z25="",Moore!X25=""),"",'H(R+S+L)'!Z25-Moore!X25)</f>
      </c>
      <c r="Y25" s="341">
        <f>IF(OR('H(R+S+L)'!AA25="N.P.",'H(R+S+L)'!AA25="",Moore!Y25=""),"",'H(R+S+L)'!AA25-Moore!Y25)</f>
      </c>
      <c r="Z25" s="341">
        <f>IF(OR('H(R+S+L)'!AB25="N.P.",'H(R+S+L)'!AB25="",Moore!Z25=""),"",'H(R+S+L)'!AB25-Moore!Z25)</f>
      </c>
      <c r="AA25" s="342">
        <f>IF(OR('H(R+S+L)'!AC25="N.P.",'H(R+S+L)'!AC25="",Moore!AA25=""),"",'H(R+S+L)'!AC25-Moore!AA25)</f>
      </c>
      <c r="AB25" s="347">
        <f>IF(OR('H(R+S+L)'!AD25="N.P.",'H(R+S+L)'!AD25="",Moore!AB25=""),"",'H(R+S+L)'!AD25-Moore!AB25)</f>
      </c>
      <c r="AC25" s="341">
        <f>IF(OR('H(R+S+L)'!AE25="N.P.",'H(R+S+L)'!AE25="",Moore!AC25=""),"",'H(R+S+L)'!AE25-Moore!AC25)</f>
      </c>
      <c r="AD25" s="341">
        <f>IF(OR('H(R+S+L)'!AF25="N.P.",'H(R+S+L)'!AF25="",Moore!AD25=""),"",'H(R+S+L)'!AF25-Moore!AD25)</f>
      </c>
      <c r="AE25" s="341">
        <f>IF(OR('H(R+S+L)'!AG25="N.P.",'H(R+S+L)'!AG25="",Moore!AE25=""),"",'H(R+S+L)'!AG25-Moore!AE25)</f>
      </c>
      <c r="AF25" s="341">
        <f>IF(OR('H(R+S+L)'!AH25="N.P.",'H(R+S+L)'!AH25="",Moore!AF25=""),"",'H(R+S+L)'!AH25-Moore!AF25)</f>
      </c>
      <c r="AG25" s="341">
        <f>IF(OR('H(R+S+L)'!AI25="N.P.",'H(R+S+L)'!AI25="",Moore!AG25=""),"",'H(R+S+L)'!AI25-Moore!AG25)</f>
      </c>
      <c r="AH25" s="341">
        <f>IF(OR('H(R+S+L)'!AJ25="N.P.",'H(R+S+L)'!AJ25="",Moore!AH25=""),"",'H(R+S+L)'!AJ25-Moore!AH25)</f>
      </c>
      <c r="AI25" s="341">
        <f>IF(OR('H(R+S+L)'!AK25="N.P.",'H(R+S+L)'!AK25="",Moore!AI25=""),"",'H(R+S+L)'!AK25-Moore!AI25)</f>
      </c>
      <c r="AJ25" s="342">
        <f>IF(OR('H(R+S+L)'!AL25="N.P.",'H(R+S+L)'!AL25="",Moore!AJ25=""),"",'H(R+S+L)'!AL25-Moore!AJ25)</f>
      </c>
      <c r="AK25" s="347">
        <f>IF(OR('H(R+S+L)'!AM25="N.P.",'H(R+S+L)'!AM25="",Moore!AK25=""),"",'H(R+S+L)'!AM25-Moore!AK25)</f>
      </c>
      <c r="AL25" s="341">
        <f>IF(OR('H(R+S+L)'!AN25="N.P.",'H(R+S+L)'!AN25="",Moore!AL25=""),"",'H(R+S+L)'!AN25-Moore!AL25)</f>
      </c>
      <c r="AM25" s="341">
        <f>IF(OR('H(R+S+L)'!AO25="N.P.",'H(R+S+L)'!AO25="",Moore!AM25=""),"",'H(R+S+L)'!AO25-Moore!AM25)</f>
      </c>
      <c r="AN25" s="341">
        <f>IF(OR('H(R+S+L)'!AP25="N.P.",'H(R+S+L)'!AP25="",Moore!AN25=""),"",'H(R+S+L)'!AP25-Moore!AN25)</f>
      </c>
      <c r="AO25" s="341">
        <f>IF(OR('H(R+S+L)'!AQ25="N.P.",'H(R+S+L)'!AQ25="",Moore!AO25=""),"",'H(R+S+L)'!AQ25-Moore!AO25)</f>
      </c>
      <c r="AP25" s="341">
        <f>IF(OR('H(R+S+L)'!AR25="N.P.",'H(R+S+L)'!AR25="",Moore!AP25=""),"",'H(R+S+L)'!AR25-Moore!AP25)</f>
      </c>
      <c r="AQ25" s="341">
        <f>IF(OR('H(R+S+L)'!AS25="N.P.",'H(R+S+L)'!AS25="",Moore!AQ25=""),"",'H(R+S+L)'!AS25-Moore!AQ25)</f>
      </c>
      <c r="AR25" s="341">
        <f>IF(OR('H(R+S+L)'!AT25="N.P.",'H(R+S+L)'!AT25="",Moore!AR25=""),"",'H(R+S+L)'!AT25-Moore!AR25)</f>
      </c>
      <c r="AS25" s="341">
        <f>IF(OR('H(R+S+L)'!AU25="N.P.",'H(R+S+L)'!AU25="",Moore!AS25=""),"",'H(R+S+L)'!AU25-Moore!AS25)</f>
      </c>
      <c r="AT25" s="341">
        <f>IF(OR('H(R+S+L)'!AV25="N.P.",'H(R+S+L)'!AV25="",Moore!AT25=""),"",'H(R+S+L)'!AV25-Moore!AT25)</f>
      </c>
      <c r="AU25" s="342">
        <f>IF(OR('H(R+S+L)'!AW25="N.P.",'H(R+S+L)'!AW25="",Moore!AU25=""),"",'H(R+S+L)'!AW25-Moore!AU25)</f>
      </c>
      <c r="AV25" s="347">
        <f>IF(OR('H(R+S+L)'!AX25="N.P.",'H(R+S+L)'!AX25="",Moore!AV25=""),"",'H(R+S+L)'!AX25-Moore!AV25)</f>
      </c>
      <c r="AW25" s="341">
        <f>IF(OR('H(R+S+L)'!AY25="N.P.",'H(R+S+L)'!AY25="",Moore!AW25=""),"",'H(R+S+L)'!AY25-Moore!AW25)</f>
      </c>
      <c r="AX25" s="341">
        <f>IF(OR('H(R+S+L)'!AZ25="N.P.",'H(R+S+L)'!AZ25="",Moore!AX25=""),"",'H(R+S+L)'!AZ25-Moore!AX25)</f>
      </c>
      <c r="AY25" s="341">
        <f>IF(OR('H(R+S+L)'!BA25="N.P.",'H(R+S+L)'!BA25="",Moore!AY25=""),"",'H(R+S+L)'!BA25-Moore!AY25)</f>
      </c>
      <c r="AZ25" s="341">
        <f>IF(OR('H(R+S+L)'!BB25="N.P.",'H(R+S+L)'!BB25="",Moore!AZ25=""),"",'H(R+S+L)'!BB25-Moore!AZ25)</f>
      </c>
      <c r="BA25" s="341">
        <f>IF(OR('H(R+S+L)'!BC25="N.P.",'H(R+S+L)'!BC25="",Moore!BA25=""),"",'H(R+S+L)'!BC25-Moore!BA25)</f>
      </c>
      <c r="BB25" s="341">
        <f>IF(OR('H(R+S+L)'!BD25="N.P.",'H(R+S+L)'!BD25="",Moore!BB25=""),"",'H(R+S+L)'!BD25-Moore!BB25)</f>
      </c>
      <c r="BC25" s="341">
        <f>IF(OR('H(R+S+L)'!BE25="N.P.",'H(R+S+L)'!BE25="",Moore!BC25=""),"",'H(R+S+L)'!BE25-Moore!BC25)</f>
      </c>
      <c r="BD25" s="341">
        <f>IF(OR('H(R+S+L)'!BF25="N.P.",'H(R+S+L)'!BF25="",Moore!BD25=""),"",'H(R+S+L)'!BF25-Moore!BD25)</f>
      </c>
      <c r="BE25" s="341">
        <f>IF(OR('H(R+S+L)'!BG25="N.P.",'H(R+S+L)'!BG25="",Moore!BE25=""),"",'H(R+S+L)'!BG25-Moore!BE25)</f>
      </c>
      <c r="BF25" s="341">
        <f>IF(OR('H(R+S+L)'!BH25="N.P.",'H(R+S+L)'!BH25="",Moore!BF25=""),"",'H(R+S+L)'!BH25-Moore!BF25)</f>
      </c>
      <c r="BG25" s="341">
        <f>IF(OR('H(R+S+L)'!BI25="N.P.",'H(R+S+L)'!BI25="",Moore!BG25=""),"",'H(R+S+L)'!BI25-Moore!BG25)</f>
      </c>
      <c r="BH25" s="342">
        <f>IF(OR('H(R+S+L)'!BJ25="N.P.",'H(R+S+L)'!BJ25="",Moore!BH25=""),"",'H(R+S+L)'!BJ25-Moore!BH25)</f>
      </c>
    </row>
    <row r="26" spans="7:60" ht="12.75">
      <c r="G26" s="788"/>
      <c r="H26" s="337">
        <f>'H(R+S+L)'!J26*1-Moore!H26</f>
        <v>-0.0041155308281304315</v>
      </c>
      <c r="I26" s="297">
        <v>4</v>
      </c>
      <c r="J26" s="298">
        <v>1.5</v>
      </c>
      <c r="K26" s="296" t="s">
        <v>9</v>
      </c>
      <c r="L26" s="695">
        <f>IF(OR('H(R+S+L)'!N26="N.P.",'H(R+S+L)'!N26="",Moore!L26=""),"",'H(R+S+L)'!N26-Moore!L26)</f>
        <v>4.5629298028870835E-06</v>
      </c>
      <c r="M26" s="347">
        <f>IF(OR('H(R+S+L)'!O26="N.P.",'H(R+S+L)'!O26="",Moore!M26=""),"",'H(R+S+L)'!O26-Moore!M26)</f>
        <v>0.0008106914874588256</v>
      </c>
      <c r="N26" s="341">
        <f>IF(OR('H(R+S+L)'!P26="N.P.",'H(R+S+L)'!P26="",Moore!N26=""),"",'H(R+S+L)'!P26-Moore!N26)</f>
      </c>
      <c r="O26" s="342">
        <f>IF(OR('H(R+S+L)'!Q26="N.P.",'H(R+S+L)'!Q26="",Moore!O26=""),"",'H(R+S+L)'!Q26-Moore!O26)</f>
      </c>
      <c r="P26" s="347">
        <f>IF(OR('H(R+S+L)'!R26="N.P.",'H(R+S+L)'!R26="",Moore!P26=""),"",'H(R+S+L)'!R26-Moore!P26)</f>
        <v>0.01506783883087337</v>
      </c>
      <c r="Q26" s="341">
        <f>IF(OR('H(R+S+L)'!S26="N.P.",'H(R+S+L)'!S26="",Moore!Q26=""),"",'H(R+S+L)'!S26-Moore!Q26)</f>
      </c>
      <c r="R26" s="341">
        <f>IF(OR('H(R+S+L)'!T26="N.P.",'H(R+S+L)'!T26="",Moore!R26=""),"",'H(R+S+L)'!T26-Moore!R26)</f>
      </c>
      <c r="S26" s="341">
        <f>IF(OR('H(R+S+L)'!U26="N.P.",'H(R+S+L)'!U26="",Moore!S26=""),"",'H(R+S+L)'!U26-Moore!S26)</f>
      </c>
      <c r="T26" s="342">
        <f>IF(OR('H(R+S+L)'!V26="N.P.",'H(R+S+L)'!V26="",Moore!T26=""),"",'H(R+S+L)'!V26-Moore!T26)</f>
      </c>
      <c r="U26" s="347">
        <f>IF(OR('H(R+S+L)'!W26="N.P.",'H(R+S+L)'!W26="",Moore!U26=""),"",'H(R+S+L)'!W26-Moore!U26)</f>
      </c>
      <c r="V26" s="341">
        <f>IF(OR('H(R+S+L)'!X26="N.P.",'H(R+S+L)'!X26="",Moore!V26=""),"",'H(R+S+L)'!X26-Moore!V26)</f>
      </c>
      <c r="W26" s="341">
        <f>IF(OR('H(R+S+L)'!Y26="N.P.",'H(R+S+L)'!Y26="",Moore!W26=""),"",'H(R+S+L)'!Y26-Moore!W26)</f>
      </c>
      <c r="X26" s="341">
        <f>IF(OR('H(R+S+L)'!Z26="N.P.",'H(R+S+L)'!Z26="",Moore!X26=""),"",'H(R+S+L)'!Z26-Moore!X26)</f>
      </c>
      <c r="Y26" s="341">
        <f>IF(OR('H(R+S+L)'!AA26="N.P.",'H(R+S+L)'!AA26="",Moore!Y26=""),"",'H(R+S+L)'!AA26-Moore!Y26)</f>
      </c>
      <c r="Z26" s="341">
        <f>IF(OR('H(R+S+L)'!AB26="N.P.",'H(R+S+L)'!AB26="",Moore!Z26=""),"",'H(R+S+L)'!AB26-Moore!Z26)</f>
      </c>
      <c r="AA26" s="342">
        <f>IF(OR('H(R+S+L)'!AC26="N.P.",'H(R+S+L)'!AC26="",Moore!AA26=""),"",'H(R+S+L)'!AC26-Moore!AA26)</f>
      </c>
      <c r="AB26" s="347">
        <f>IF(OR('H(R+S+L)'!AD26="N.P.",'H(R+S+L)'!AD26="",Moore!AB26=""),"",'H(R+S+L)'!AD26-Moore!AB26)</f>
      </c>
      <c r="AC26" s="341">
        <f>IF(OR('H(R+S+L)'!AE26="N.P.",'H(R+S+L)'!AE26="",Moore!AC26=""),"",'H(R+S+L)'!AE26-Moore!AC26)</f>
      </c>
      <c r="AD26" s="341">
        <f>IF(OR('H(R+S+L)'!AF26="N.P.",'H(R+S+L)'!AF26="",Moore!AD26=""),"",'H(R+S+L)'!AF26-Moore!AD26)</f>
      </c>
      <c r="AE26" s="341">
        <f>IF(OR('H(R+S+L)'!AG26="N.P.",'H(R+S+L)'!AG26="",Moore!AE26=""),"",'H(R+S+L)'!AG26-Moore!AE26)</f>
      </c>
      <c r="AF26" s="341">
        <f>IF(OR('H(R+S+L)'!AH26="N.P.",'H(R+S+L)'!AH26="",Moore!AF26=""),"",'H(R+S+L)'!AH26-Moore!AF26)</f>
      </c>
      <c r="AG26" s="341">
        <f>IF(OR('H(R+S+L)'!AI26="N.P.",'H(R+S+L)'!AI26="",Moore!AG26=""),"",'H(R+S+L)'!AI26-Moore!AG26)</f>
      </c>
      <c r="AH26" s="341">
        <f>IF(OR('H(R+S+L)'!AJ26="N.P.",'H(R+S+L)'!AJ26="",Moore!AH26=""),"",'H(R+S+L)'!AJ26-Moore!AH26)</f>
      </c>
      <c r="AI26" s="341">
        <f>IF(OR('H(R+S+L)'!AK26="N.P.",'H(R+S+L)'!AK26="",Moore!AI26=""),"",'H(R+S+L)'!AK26-Moore!AI26)</f>
      </c>
      <c r="AJ26" s="342">
        <f>IF(OR('H(R+S+L)'!AL26="N.P.",'H(R+S+L)'!AL26="",Moore!AJ26=""),"",'H(R+S+L)'!AL26-Moore!AJ26)</f>
      </c>
      <c r="AK26" s="347">
        <f>IF(OR('H(R+S+L)'!AM26="N.P.",'H(R+S+L)'!AM26="",Moore!AK26=""),"",'H(R+S+L)'!AM26-Moore!AK26)</f>
      </c>
      <c r="AL26" s="341">
        <f>IF(OR('H(R+S+L)'!AN26="N.P.",'H(R+S+L)'!AN26="",Moore!AL26=""),"",'H(R+S+L)'!AN26-Moore!AL26)</f>
      </c>
      <c r="AM26" s="341">
        <f>IF(OR('H(R+S+L)'!AO26="N.P.",'H(R+S+L)'!AO26="",Moore!AM26=""),"",'H(R+S+L)'!AO26-Moore!AM26)</f>
      </c>
      <c r="AN26" s="341">
        <f>IF(OR('H(R+S+L)'!AP26="N.P.",'H(R+S+L)'!AP26="",Moore!AN26=""),"",'H(R+S+L)'!AP26-Moore!AN26)</f>
      </c>
      <c r="AO26" s="341">
        <f>IF(OR('H(R+S+L)'!AQ26="N.P.",'H(R+S+L)'!AQ26="",Moore!AO26=""),"",'H(R+S+L)'!AQ26-Moore!AO26)</f>
      </c>
      <c r="AP26" s="341">
        <f>IF(OR('H(R+S+L)'!AR26="N.P.",'H(R+S+L)'!AR26="",Moore!AP26=""),"",'H(R+S+L)'!AR26-Moore!AP26)</f>
      </c>
      <c r="AQ26" s="341">
        <f>IF(OR('H(R+S+L)'!AS26="N.P.",'H(R+S+L)'!AS26="",Moore!AQ26=""),"",'H(R+S+L)'!AS26-Moore!AQ26)</f>
      </c>
      <c r="AR26" s="341">
        <f>IF(OR('H(R+S+L)'!AT26="N.P.",'H(R+S+L)'!AT26="",Moore!AR26=""),"",'H(R+S+L)'!AT26-Moore!AR26)</f>
      </c>
      <c r="AS26" s="341">
        <f>IF(OR('H(R+S+L)'!AU26="N.P.",'H(R+S+L)'!AU26="",Moore!AS26=""),"",'H(R+S+L)'!AU26-Moore!AS26)</f>
      </c>
      <c r="AT26" s="341">
        <f>IF(OR('H(R+S+L)'!AV26="N.P.",'H(R+S+L)'!AV26="",Moore!AT26=""),"",'H(R+S+L)'!AV26-Moore!AT26)</f>
      </c>
      <c r="AU26" s="342">
        <f>IF(OR('H(R+S+L)'!AW26="N.P.",'H(R+S+L)'!AW26="",Moore!AU26=""),"",'H(R+S+L)'!AW26-Moore!AU26)</f>
      </c>
      <c r="AV26" s="347">
        <f>IF(OR('H(R+S+L)'!AX26="N.P.",'H(R+S+L)'!AX26="",Moore!AV26=""),"",'H(R+S+L)'!AX26-Moore!AV26)</f>
      </c>
      <c r="AW26" s="341">
        <f>IF(OR('H(R+S+L)'!AY26="N.P.",'H(R+S+L)'!AY26="",Moore!AW26=""),"",'H(R+S+L)'!AY26-Moore!AW26)</f>
      </c>
      <c r="AX26" s="341">
        <f>IF(OR('H(R+S+L)'!AZ26="N.P.",'H(R+S+L)'!AZ26="",Moore!AX26=""),"",'H(R+S+L)'!AZ26-Moore!AX26)</f>
      </c>
      <c r="AY26" s="341">
        <f>IF(OR('H(R+S+L)'!BA26="N.P.",'H(R+S+L)'!BA26="",Moore!AY26=""),"",'H(R+S+L)'!BA26-Moore!AY26)</f>
      </c>
      <c r="AZ26" s="341">
        <f>IF(OR('H(R+S+L)'!BB26="N.P.",'H(R+S+L)'!BB26="",Moore!AZ26=""),"",'H(R+S+L)'!BB26-Moore!AZ26)</f>
      </c>
      <c r="BA26" s="341">
        <f>IF(OR('H(R+S+L)'!BC26="N.P.",'H(R+S+L)'!BC26="",Moore!BA26=""),"",'H(R+S+L)'!BC26-Moore!BA26)</f>
      </c>
      <c r="BB26" s="341">
        <f>IF(OR('H(R+S+L)'!BD26="N.P.",'H(R+S+L)'!BD26="",Moore!BB26=""),"",'H(R+S+L)'!BD26-Moore!BB26)</f>
      </c>
      <c r="BC26" s="341">
        <f>IF(OR('H(R+S+L)'!BE26="N.P.",'H(R+S+L)'!BE26="",Moore!BC26=""),"",'H(R+S+L)'!BE26-Moore!BC26)</f>
      </c>
      <c r="BD26" s="341">
        <f>IF(OR('H(R+S+L)'!BF26="N.P.",'H(R+S+L)'!BF26="",Moore!BD26=""),"",'H(R+S+L)'!BF26-Moore!BD26)</f>
      </c>
      <c r="BE26" s="341">
        <f>IF(OR('H(R+S+L)'!BG26="N.P.",'H(R+S+L)'!BG26="",Moore!BE26=""),"",'H(R+S+L)'!BG26-Moore!BE26)</f>
      </c>
      <c r="BF26" s="341">
        <f>IF(OR('H(R+S+L)'!BH26="N.P.",'H(R+S+L)'!BH26="",Moore!BF26=""),"",'H(R+S+L)'!BH26-Moore!BF26)</f>
      </c>
      <c r="BG26" s="341">
        <f>IF(OR('H(R+S+L)'!BI26="N.P.",'H(R+S+L)'!BI26="",Moore!BG26=""),"",'H(R+S+L)'!BI26-Moore!BG26)</f>
      </c>
      <c r="BH26" s="342">
        <f>IF(OR('H(R+S+L)'!BJ26="N.P.",'H(R+S+L)'!BJ26="",Moore!BH26=""),"",'H(R+S+L)'!BJ26-Moore!BH26)</f>
      </c>
    </row>
    <row r="27" spans="7:60" ht="12.75">
      <c r="G27" s="788"/>
      <c r="H27" s="337">
        <f>'H(R+S+L)'!J27*1-Moore!H27</f>
        <v>0.0003246189735364169</v>
      </c>
      <c r="I27" s="297">
        <v>4</v>
      </c>
      <c r="J27" s="298">
        <v>2.5</v>
      </c>
      <c r="K27" s="296" t="s">
        <v>10</v>
      </c>
      <c r="L27" s="695">
        <f>IF(OR('H(R+S+L)'!N27="N.P.",'H(R+S+L)'!N27="",Moore!L27=""),"",'H(R+S+L)'!N27-Moore!L27)</f>
      </c>
      <c r="M27" s="347">
        <f>IF(OR('H(R+S+L)'!O27="N.P.",'H(R+S+L)'!O27="",Moore!M27=""),"",'H(R+S+L)'!O27-Moore!M27)</f>
      </c>
      <c r="N27" s="341">
        <f>IF(OR('H(R+S+L)'!P27="N.P.",'H(R+S+L)'!P27="",Moore!N27=""),"",'H(R+S+L)'!P27-Moore!N27)</f>
        <v>-0.00044909206826559966</v>
      </c>
      <c r="O27" s="342">
        <f>IF(OR('H(R+S+L)'!Q27="N.P.",'H(R+S+L)'!Q27="",Moore!O27=""),"",'H(R+S+L)'!Q27-Moore!O27)</f>
      </c>
      <c r="P27" s="347">
        <f>IF(OR('H(R+S+L)'!R27="N.P.",'H(R+S+L)'!R27="",Moore!P27=""),"",'H(R+S+L)'!R27-Moore!P27)</f>
      </c>
      <c r="Q27" s="341">
        <f>IF(OR('H(R+S+L)'!S27="N.P.",'H(R+S+L)'!S27="",Moore!Q27=""),"",'H(R+S+L)'!S27-Moore!Q27)</f>
      </c>
      <c r="R27" s="341">
        <f>IF(OR('H(R+S+L)'!T27="N.P.",'H(R+S+L)'!T27="",Moore!R27=""),"",'H(R+S+L)'!T27-Moore!R27)</f>
      </c>
      <c r="S27" s="341">
        <f>IF(OR('H(R+S+L)'!U27="N.P.",'H(R+S+L)'!U27="",Moore!S27=""),"",'H(R+S+L)'!U27-Moore!S27)</f>
      </c>
      <c r="T27" s="342">
        <f>IF(OR('H(R+S+L)'!V27="N.P.",'H(R+S+L)'!V27="",Moore!T27=""),"",'H(R+S+L)'!V27-Moore!T27)</f>
      </c>
      <c r="U27" s="347">
        <f>IF(OR('H(R+S+L)'!W27="N.P.",'H(R+S+L)'!W27="",Moore!U27=""),"",'H(R+S+L)'!W27-Moore!U27)</f>
      </c>
      <c r="V27" s="341">
        <f>IF(OR('H(R+S+L)'!X27="N.P.",'H(R+S+L)'!X27="",Moore!V27=""),"",'H(R+S+L)'!X27-Moore!V27)</f>
      </c>
      <c r="W27" s="341">
        <f>IF(OR('H(R+S+L)'!Y27="N.P.",'H(R+S+L)'!Y27="",Moore!W27=""),"",'H(R+S+L)'!Y27-Moore!W27)</f>
      </c>
      <c r="X27" s="341">
        <f>IF(OR('H(R+S+L)'!Z27="N.P.",'H(R+S+L)'!Z27="",Moore!X27=""),"",'H(R+S+L)'!Z27-Moore!X27)</f>
      </c>
      <c r="Y27" s="341">
        <f>IF(OR('H(R+S+L)'!AA27="N.P.",'H(R+S+L)'!AA27="",Moore!Y27=""),"",'H(R+S+L)'!AA27-Moore!Y27)</f>
      </c>
      <c r="Z27" s="341">
        <f>IF(OR('H(R+S+L)'!AB27="N.P.",'H(R+S+L)'!AB27="",Moore!Z27=""),"",'H(R+S+L)'!AB27-Moore!Z27)</f>
      </c>
      <c r="AA27" s="342">
        <f>IF(OR('H(R+S+L)'!AC27="N.P.",'H(R+S+L)'!AC27="",Moore!AA27=""),"",'H(R+S+L)'!AC27-Moore!AA27)</f>
      </c>
      <c r="AB27" s="347">
        <f>IF(OR('H(R+S+L)'!AD27="N.P.",'H(R+S+L)'!AD27="",Moore!AB27=""),"",'H(R+S+L)'!AD27-Moore!AB27)</f>
      </c>
      <c r="AC27" s="341">
        <f>IF(OR('H(R+S+L)'!AE27="N.P.",'H(R+S+L)'!AE27="",Moore!AC27=""),"",'H(R+S+L)'!AE27-Moore!AC27)</f>
      </c>
      <c r="AD27" s="341">
        <f>IF(OR('H(R+S+L)'!AF27="N.P.",'H(R+S+L)'!AF27="",Moore!AD27=""),"",'H(R+S+L)'!AF27-Moore!AD27)</f>
      </c>
      <c r="AE27" s="341">
        <f>IF(OR('H(R+S+L)'!AG27="N.P.",'H(R+S+L)'!AG27="",Moore!AE27=""),"",'H(R+S+L)'!AG27-Moore!AE27)</f>
      </c>
      <c r="AF27" s="341">
        <f>IF(OR('H(R+S+L)'!AH27="N.P.",'H(R+S+L)'!AH27="",Moore!AF27=""),"",'H(R+S+L)'!AH27-Moore!AF27)</f>
      </c>
      <c r="AG27" s="341">
        <f>IF(OR('H(R+S+L)'!AI27="N.P.",'H(R+S+L)'!AI27="",Moore!AG27=""),"",'H(R+S+L)'!AI27-Moore!AG27)</f>
      </c>
      <c r="AH27" s="341">
        <f>IF(OR('H(R+S+L)'!AJ27="N.P.",'H(R+S+L)'!AJ27="",Moore!AH27=""),"",'H(R+S+L)'!AJ27-Moore!AH27)</f>
      </c>
      <c r="AI27" s="341">
        <f>IF(OR('H(R+S+L)'!AK27="N.P.",'H(R+S+L)'!AK27="",Moore!AI27=""),"",'H(R+S+L)'!AK27-Moore!AI27)</f>
      </c>
      <c r="AJ27" s="342">
        <f>IF(OR('H(R+S+L)'!AL27="N.P.",'H(R+S+L)'!AL27="",Moore!AJ27=""),"",'H(R+S+L)'!AL27-Moore!AJ27)</f>
      </c>
      <c r="AK27" s="347">
        <f>IF(OR('H(R+S+L)'!AM27="N.P.",'H(R+S+L)'!AM27="",Moore!AK27=""),"",'H(R+S+L)'!AM27-Moore!AK27)</f>
      </c>
      <c r="AL27" s="341">
        <f>IF(OR('H(R+S+L)'!AN27="N.P.",'H(R+S+L)'!AN27="",Moore!AL27=""),"",'H(R+S+L)'!AN27-Moore!AL27)</f>
      </c>
      <c r="AM27" s="341">
        <f>IF(OR('H(R+S+L)'!AO27="N.P.",'H(R+S+L)'!AO27="",Moore!AM27=""),"",'H(R+S+L)'!AO27-Moore!AM27)</f>
      </c>
      <c r="AN27" s="341">
        <f>IF(OR('H(R+S+L)'!AP27="N.P.",'H(R+S+L)'!AP27="",Moore!AN27=""),"",'H(R+S+L)'!AP27-Moore!AN27)</f>
      </c>
      <c r="AO27" s="341">
        <f>IF(OR('H(R+S+L)'!AQ27="N.P.",'H(R+S+L)'!AQ27="",Moore!AO27=""),"",'H(R+S+L)'!AQ27-Moore!AO27)</f>
      </c>
      <c r="AP27" s="341">
        <f>IF(OR('H(R+S+L)'!AR27="N.P.",'H(R+S+L)'!AR27="",Moore!AP27=""),"",'H(R+S+L)'!AR27-Moore!AP27)</f>
      </c>
      <c r="AQ27" s="341">
        <f>IF(OR('H(R+S+L)'!AS27="N.P.",'H(R+S+L)'!AS27="",Moore!AQ27=""),"",'H(R+S+L)'!AS27-Moore!AQ27)</f>
      </c>
      <c r="AR27" s="341">
        <f>IF(OR('H(R+S+L)'!AT27="N.P.",'H(R+S+L)'!AT27="",Moore!AR27=""),"",'H(R+S+L)'!AT27-Moore!AR27)</f>
      </c>
      <c r="AS27" s="341">
        <f>IF(OR('H(R+S+L)'!AU27="N.P.",'H(R+S+L)'!AU27="",Moore!AS27=""),"",'H(R+S+L)'!AU27-Moore!AS27)</f>
      </c>
      <c r="AT27" s="341">
        <f>IF(OR('H(R+S+L)'!AV27="N.P.",'H(R+S+L)'!AV27="",Moore!AT27=""),"",'H(R+S+L)'!AV27-Moore!AT27)</f>
      </c>
      <c r="AU27" s="342">
        <f>IF(OR('H(R+S+L)'!AW27="N.P.",'H(R+S+L)'!AW27="",Moore!AU27=""),"",'H(R+S+L)'!AW27-Moore!AU27)</f>
      </c>
      <c r="AV27" s="347">
        <f>IF(OR('H(R+S+L)'!AX27="N.P.",'H(R+S+L)'!AX27="",Moore!AV27=""),"",'H(R+S+L)'!AX27-Moore!AV27)</f>
      </c>
      <c r="AW27" s="341">
        <f>IF(OR('H(R+S+L)'!AY27="N.P.",'H(R+S+L)'!AY27="",Moore!AW27=""),"",'H(R+S+L)'!AY27-Moore!AW27)</f>
      </c>
      <c r="AX27" s="341">
        <f>IF(OR('H(R+S+L)'!AZ27="N.P.",'H(R+S+L)'!AZ27="",Moore!AX27=""),"",'H(R+S+L)'!AZ27-Moore!AX27)</f>
      </c>
      <c r="AY27" s="341">
        <f>IF(OR('H(R+S+L)'!BA27="N.P.",'H(R+S+L)'!BA27="",Moore!AY27=""),"",'H(R+S+L)'!BA27-Moore!AY27)</f>
      </c>
      <c r="AZ27" s="341">
        <f>IF(OR('H(R+S+L)'!BB27="N.P.",'H(R+S+L)'!BB27="",Moore!AZ27=""),"",'H(R+S+L)'!BB27-Moore!AZ27)</f>
      </c>
      <c r="BA27" s="341">
        <f>IF(OR('H(R+S+L)'!BC27="N.P.",'H(R+S+L)'!BC27="",Moore!BA27=""),"",'H(R+S+L)'!BC27-Moore!BA27)</f>
      </c>
      <c r="BB27" s="341">
        <f>IF(OR('H(R+S+L)'!BD27="N.P.",'H(R+S+L)'!BD27="",Moore!BB27=""),"",'H(R+S+L)'!BD27-Moore!BB27)</f>
      </c>
      <c r="BC27" s="341">
        <f>IF(OR('H(R+S+L)'!BE27="N.P.",'H(R+S+L)'!BE27="",Moore!BC27=""),"",'H(R+S+L)'!BE27-Moore!BC27)</f>
      </c>
      <c r="BD27" s="341">
        <f>IF(OR('H(R+S+L)'!BF27="N.P.",'H(R+S+L)'!BF27="",Moore!BD27=""),"",'H(R+S+L)'!BF27-Moore!BD27)</f>
      </c>
      <c r="BE27" s="341">
        <f>IF(OR('H(R+S+L)'!BG27="N.P.",'H(R+S+L)'!BG27="",Moore!BE27=""),"",'H(R+S+L)'!BG27-Moore!BE27)</f>
      </c>
      <c r="BF27" s="341">
        <f>IF(OR('H(R+S+L)'!BH27="N.P.",'H(R+S+L)'!BH27="",Moore!BF27=""),"",'H(R+S+L)'!BH27-Moore!BF27)</f>
      </c>
      <c r="BG27" s="341">
        <f>IF(OR('H(R+S+L)'!BI27="N.P.",'H(R+S+L)'!BI27="",Moore!BG27=""),"",'H(R+S+L)'!BI27-Moore!BG27)</f>
      </c>
      <c r="BH27" s="342">
        <f>IF(OR('H(R+S+L)'!BJ27="N.P.",'H(R+S+L)'!BJ27="",Moore!BH27=""),"",'H(R+S+L)'!BJ27-Moore!BH27)</f>
      </c>
    </row>
    <row r="28" spans="7:60" ht="12.75">
      <c r="G28" s="788"/>
      <c r="H28" s="337">
        <f>'H(R+S+L)'!J28*1-Moore!H28</f>
        <v>0.0002757835463853553</v>
      </c>
      <c r="I28" s="297">
        <v>4</v>
      </c>
      <c r="J28" s="298">
        <v>2.5</v>
      </c>
      <c r="K28" s="296" t="s">
        <v>11</v>
      </c>
      <c r="L28" s="695">
        <f>IF(OR('H(R+S+L)'!N28="N.P.",'H(R+S+L)'!N28="",Moore!L28=""),"",'H(R+S+L)'!N28-Moore!L28)</f>
      </c>
      <c r="M28" s="347">
        <f>IF(OR('H(R+S+L)'!O28="N.P.",'H(R+S+L)'!O28="",Moore!M28=""),"",'H(R+S+L)'!O28-Moore!M28)</f>
      </c>
      <c r="N28" s="341">
        <f>IF(OR('H(R+S+L)'!P28="N.P.",'H(R+S+L)'!P28="",Moore!N28=""),"",'H(R+S+L)'!P28-Moore!N28)</f>
      </c>
      <c r="O28" s="342">
        <f>IF(OR('H(R+S+L)'!Q28="N.P.",'H(R+S+L)'!Q28="",Moore!O28=""),"",'H(R+S+L)'!Q28-Moore!O28)</f>
        <v>-0.00010535813453316223</v>
      </c>
      <c r="P28" s="347">
        <f>IF(OR('H(R+S+L)'!R28="N.P.",'H(R+S+L)'!R28="",Moore!P28=""),"",'H(R+S+L)'!R28-Moore!P28)</f>
      </c>
      <c r="Q28" s="341">
        <f>IF(OR('H(R+S+L)'!S28="N.P.",'H(R+S+L)'!S28="",Moore!Q28=""),"",'H(R+S+L)'!S28-Moore!Q28)</f>
      </c>
      <c r="R28" s="341">
        <f>IF(OR('H(R+S+L)'!T28="N.P.",'H(R+S+L)'!T28="",Moore!R28=""),"",'H(R+S+L)'!T28-Moore!R28)</f>
      </c>
      <c r="S28" s="341">
        <f>IF(OR('H(R+S+L)'!U28="N.P.",'H(R+S+L)'!U28="",Moore!S28=""),"",'H(R+S+L)'!U28-Moore!S28)</f>
      </c>
      <c r="T28" s="342">
        <f>IF(OR('H(R+S+L)'!V28="N.P.",'H(R+S+L)'!V28="",Moore!T28=""),"",'H(R+S+L)'!V28-Moore!T28)</f>
      </c>
      <c r="U28" s="347">
        <f>IF(OR('H(R+S+L)'!W28="N.P.",'H(R+S+L)'!W28="",Moore!U28=""),"",'H(R+S+L)'!W28-Moore!U28)</f>
      </c>
      <c r="V28" s="341">
        <f>IF(OR('H(R+S+L)'!X28="N.P.",'H(R+S+L)'!X28="",Moore!V28=""),"",'H(R+S+L)'!X28-Moore!V28)</f>
      </c>
      <c r="W28" s="341">
        <f>IF(OR('H(R+S+L)'!Y28="N.P.",'H(R+S+L)'!Y28="",Moore!W28=""),"",'H(R+S+L)'!Y28-Moore!W28)</f>
      </c>
      <c r="X28" s="341">
        <f>IF(OR('H(R+S+L)'!Z28="N.P.",'H(R+S+L)'!Z28="",Moore!X28=""),"",'H(R+S+L)'!Z28-Moore!X28)</f>
      </c>
      <c r="Y28" s="341">
        <f>IF(OR('H(R+S+L)'!AA28="N.P.",'H(R+S+L)'!AA28="",Moore!Y28=""),"",'H(R+S+L)'!AA28-Moore!Y28)</f>
      </c>
      <c r="Z28" s="341">
        <f>IF(OR('H(R+S+L)'!AB28="N.P.",'H(R+S+L)'!AB28="",Moore!Z28=""),"",'H(R+S+L)'!AB28-Moore!Z28)</f>
      </c>
      <c r="AA28" s="342">
        <f>IF(OR('H(R+S+L)'!AC28="N.P.",'H(R+S+L)'!AC28="",Moore!AA28=""),"",'H(R+S+L)'!AC28-Moore!AA28)</f>
      </c>
      <c r="AB28" s="347">
        <f>IF(OR('H(R+S+L)'!AD28="N.P.",'H(R+S+L)'!AD28="",Moore!AB28=""),"",'H(R+S+L)'!AD28-Moore!AB28)</f>
      </c>
      <c r="AC28" s="341">
        <f>IF(OR('H(R+S+L)'!AE28="N.P.",'H(R+S+L)'!AE28="",Moore!AC28=""),"",'H(R+S+L)'!AE28-Moore!AC28)</f>
      </c>
      <c r="AD28" s="341">
        <f>IF(OR('H(R+S+L)'!AF28="N.P.",'H(R+S+L)'!AF28="",Moore!AD28=""),"",'H(R+S+L)'!AF28-Moore!AD28)</f>
      </c>
      <c r="AE28" s="341">
        <f>IF(OR('H(R+S+L)'!AG28="N.P.",'H(R+S+L)'!AG28="",Moore!AE28=""),"",'H(R+S+L)'!AG28-Moore!AE28)</f>
      </c>
      <c r="AF28" s="341">
        <f>IF(OR('H(R+S+L)'!AH28="N.P.",'H(R+S+L)'!AH28="",Moore!AF28=""),"",'H(R+S+L)'!AH28-Moore!AF28)</f>
      </c>
      <c r="AG28" s="341">
        <f>IF(OR('H(R+S+L)'!AI28="N.P.",'H(R+S+L)'!AI28="",Moore!AG28=""),"",'H(R+S+L)'!AI28-Moore!AG28)</f>
      </c>
      <c r="AH28" s="341">
        <f>IF(OR('H(R+S+L)'!AJ28="N.P.",'H(R+S+L)'!AJ28="",Moore!AH28=""),"",'H(R+S+L)'!AJ28-Moore!AH28)</f>
      </c>
      <c r="AI28" s="341">
        <f>IF(OR('H(R+S+L)'!AK28="N.P.",'H(R+S+L)'!AK28="",Moore!AI28=""),"",'H(R+S+L)'!AK28-Moore!AI28)</f>
      </c>
      <c r="AJ28" s="342">
        <f>IF(OR('H(R+S+L)'!AL28="N.P.",'H(R+S+L)'!AL28="",Moore!AJ28=""),"",'H(R+S+L)'!AL28-Moore!AJ28)</f>
      </c>
      <c r="AK28" s="347">
        <f>IF(OR('H(R+S+L)'!AM28="N.P.",'H(R+S+L)'!AM28="",Moore!AK28=""),"",'H(R+S+L)'!AM28-Moore!AK28)</f>
      </c>
      <c r="AL28" s="341">
        <f>IF(OR('H(R+S+L)'!AN28="N.P.",'H(R+S+L)'!AN28="",Moore!AL28=""),"",'H(R+S+L)'!AN28-Moore!AL28)</f>
      </c>
      <c r="AM28" s="341">
        <f>IF(OR('H(R+S+L)'!AO28="N.P.",'H(R+S+L)'!AO28="",Moore!AM28=""),"",'H(R+S+L)'!AO28-Moore!AM28)</f>
      </c>
      <c r="AN28" s="341">
        <f>IF(OR('H(R+S+L)'!AP28="N.P.",'H(R+S+L)'!AP28="",Moore!AN28=""),"",'H(R+S+L)'!AP28-Moore!AN28)</f>
      </c>
      <c r="AO28" s="341">
        <f>IF(OR('H(R+S+L)'!AQ28="N.P.",'H(R+S+L)'!AQ28="",Moore!AO28=""),"",'H(R+S+L)'!AQ28-Moore!AO28)</f>
      </c>
      <c r="AP28" s="341">
        <f>IF(OR('H(R+S+L)'!AR28="N.P.",'H(R+S+L)'!AR28="",Moore!AP28=""),"",'H(R+S+L)'!AR28-Moore!AP28)</f>
      </c>
      <c r="AQ28" s="341">
        <f>IF(OR('H(R+S+L)'!AS28="N.P.",'H(R+S+L)'!AS28="",Moore!AQ28=""),"",'H(R+S+L)'!AS28-Moore!AQ28)</f>
      </c>
      <c r="AR28" s="341">
        <f>IF(OR('H(R+S+L)'!AT28="N.P.",'H(R+S+L)'!AT28="",Moore!AR28=""),"",'H(R+S+L)'!AT28-Moore!AR28)</f>
      </c>
      <c r="AS28" s="341">
        <f>IF(OR('H(R+S+L)'!AU28="N.P.",'H(R+S+L)'!AU28="",Moore!AS28=""),"",'H(R+S+L)'!AU28-Moore!AS28)</f>
      </c>
      <c r="AT28" s="341">
        <f>IF(OR('H(R+S+L)'!AV28="N.P.",'H(R+S+L)'!AV28="",Moore!AT28=""),"",'H(R+S+L)'!AV28-Moore!AT28)</f>
      </c>
      <c r="AU28" s="342">
        <f>IF(OR('H(R+S+L)'!AW28="N.P.",'H(R+S+L)'!AW28="",Moore!AU28=""),"",'H(R+S+L)'!AW28-Moore!AU28)</f>
      </c>
      <c r="AV28" s="347">
        <f>IF(OR('H(R+S+L)'!AX28="N.P.",'H(R+S+L)'!AX28="",Moore!AV28=""),"",'H(R+S+L)'!AX28-Moore!AV28)</f>
      </c>
      <c r="AW28" s="341">
        <f>IF(OR('H(R+S+L)'!AY28="N.P.",'H(R+S+L)'!AY28="",Moore!AW28=""),"",'H(R+S+L)'!AY28-Moore!AW28)</f>
      </c>
      <c r="AX28" s="341">
        <f>IF(OR('H(R+S+L)'!AZ28="N.P.",'H(R+S+L)'!AZ28="",Moore!AX28=""),"",'H(R+S+L)'!AZ28-Moore!AX28)</f>
      </c>
      <c r="AY28" s="341">
        <f>IF(OR('H(R+S+L)'!BA28="N.P.",'H(R+S+L)'!BA28="",Moore!AY28=""),"",'H(R+S+L)'!BA28-Moore!AY28)</f>
      </c>
      <c r="AZ28" s="341">
        <f>IF(OR('H(R+S+L)'!BB28="N.P.",'H(R+S+L)'!BB28="",Moore!AZ28=""),"",'H(R+S+L)'!BB28-Moore!AZ28)</f>
      </c>
      <c r="BA28" s="341">
        <f>IF(OR('H(R+S+L)'!BC28="N.P.",'H(R+S+L)'!BC28="",Moore!BA28=""),"",'H(R+S+L)'!BC28-Moore!BA28)</f>
      </c>
      <c r="BB28" s="341">
        <f>IF(OR('H(R+S+L)'!BD28="N.P.",'H(R+S+L)'!BD28="",Moore!BB28=""),"",'H(R+S+L)'!BD28-Moore!BB28)</f>
      </c>
      <c r="BC28" s="341">
        <f>IF(OR('H(R+S+L)'!BE28="N.P.",'H(R+S+L)'!BE28="",Moore!BC28=""),"",'H(R+S+L)'!BE28-Moore!BC28)</f>
      </c>
      <c r="BD28" s="341">
        <f>IF(OR('H(R+S+L)'!BF28="N.P.",'H(R+S+L)'!BF28="",Moore!BD28=""),"",'H(R+S+L)'!BF28-Moore!BD28)</f>
      </c>
      <c r="BE28" s="341">
        <f>IF(OR('H(R+S+L)'!BG28="N.P.",'H(R+S+L)'!BG28="",Moore!BE28=""),"",'H(R+S+L)'!BG28-Moore!BE28)</f>
      </c>
      <c r="BF28" s="341">
        <f>IF(OR('H(R+S+L)'!BH28="N.P.",'H(R+S+L)'!BH28="",Moore!BF28=""),"",'H(R+S+L)'!BH28-Moore!BF28)</f>
      </c>
      <c r="BG28" s="341">
        <f>IF(OR('H(R+S+L)'!BI28="N.P.",'H(R+S+L)'!BI28="",Moore!BG28=""),"",'H(R+S+L)'!BI28-Moore!BG28)</f>
      </c>
      <c r="BH28" s="342">
        <f>IF(OR('H(R+S+L)'!BJ28="N.P.",'H(R+S+L)'!BJ28="",Moore!BH28=""),"",'H(R+S+L)'!BJ28-Moore!BH28)</f>
      </c>
    </row>
    <row r="29" spans="7:60" ht="12.75">
      <c r="G29" s="788"/>
      <c r="H29" s="337">
        <f>'H(R+S+L)'!J29*1-Moore!H29</f>
        <v>0.0003917643480235711</v>
      </c>
      <c r="I29" s="297">
        <v>4</v>
      </c>
      <c r="J29" s="298">
        <v>3.5</v>
      </c>
      <c r="K29" s="296" t="s">
        <v>12</v>
      </c>
      <c r="L29" s="695">
        <f>IF(OR('H(R+S+L)'!N29="N.P.",'H(R+S+L)'!N29="",Moore!L29=""),"",'H(R+S+L)'!N29-Moore!L29)</f>
      </c>
      <c r="M29" s="347">
        <f>IF(OR('H(R+S+L)'!O29="N.P.",'H(R+S+L)'!O29="",Moore!M29=""),"",'H(R+S+L)'!O29-Moore!M29)</f>
      </c>
      <c r="N29" s="341">
        <f>IF(OR('H(R+S+L)'!P29="N.P.",'H(R+S+L)'!P29="",Moore!N29=""),"",'H(R+S+L)'!P29-Moore!N29)</f>
      </c>
      <c r="O29" s="342">
        <f>IF(OR('H(R+S+L)'!Q29="N.P.",'H(R+S+L)'!Q29="",Moore!O29=""),"",'H(R+S+L)'!Q29-Moore!O29)</f>
      </c>
      <c r="P29" s="347">
        <f>IF(OR('H(R+S+L)'!R29="N.P.",'H(R+S+L)'!R29="",Moore!P29=""),"",'H(R+S+L)'!R29-Moore!P29)</f>
      </c>
      <c r="Q29" s="341">
        <f>IF(OR('H(R+S+L)'!S29="N.P.",'H(R+S+L)'!S29="",Moore!Q29=""),"",'H(R+S+L)'!S29-Moore!Q29)</f>
      </c>
      <c r="R29" s="341">
        <f>IF(OR('H(R+S+L)'!T29="N.P.",'H(R+S+L)'!T29="",Moore!R29=""),"",'H(R+S+L)'!T29-Moore!R29)</f>
      </c>
      <c r="S29" s="341">
        <f>IF(OR('H(R+S+L)'!U29="N.P.",'H(R+S+L)'!U29="",Moore!S29=""),"",'H(R+S+L)'!U29-Moore!S29)</f>
        <v>0.09651337038303609</v>
      </c>
      <c r="T29" s="342">
        <f>IF(OR('H(R+S+L)'!V29="N.P.",'H(R+S+L)'!V29="",Moore!T29=""),"",'H(R+S+L)'!V29-Moore!T29)</f>
      </c>
      <c r="U29" s="347">
        <f>IF(OR('H(R+S+L)'!W29="N.P.",'H(R+S+L)'!W29="",Moore!U29=""),"",'H(R+S+L)'!W29-Moore!U29)</f>
      </c>
      <c r="V29" s="341">
        <f>IF(OR('H(R+S+L)'!X29="N.P.",'H(R+S+L)'!X29="",Moore!V29=""),"",'H(R+S+L)'!X29-Moore!V29)</f>
      </c>
      <c r="W29" s="341">
        <f>IF(OR('H(R+S+L)'!Y29="N.P.",'H(R+S+L)'!Y29="",Moore!W29=""),"",'H(R+S+L)'!Y29-Moore!W29)</f>
      </c>
      <c r="X29" s="341">
        <f>IF(OR('H(R+S+L)'!Z29="N.P.",'H(R+S+L)'!Z29="",Moore!X29=""),"",'H(R+S+L)'!Z29-Moore!X29)</f>
      </c>
      <c r="Y29" s="341">
        <f>IF(OR('H(R+S+L)'!AA29="N.P.",'H(R+S+L)'!AA29="",Moore!Y29=""),"",'H(R+S+L)'!AA29-Moore!Y29)</f>
      </c>
      <c r="Z29" s="341">
        <f>IF(OR('H(R+S+L)'!AB29="N.P.",'H(R+S+L)'!AB29="",Moore!Z29=""),"",'H(R+S+L)'!AB29-Moore!Z29)</f>
      </c>
      <c r="AA29" s="342">
        <f>IF(OR('H(R+S+L)'!AC29="N.P.",'H(R+S+L)'!AC29="",Moore!AA29=""),"",'H(R+S+L)'!AC29-Moore!AA29)</f>
      </c>
      <c r="AB29" s="347">
        <f>IF(OR('H(R+S+L)'!AD29="N.P.",'H(R+S+L)'!AD29="",Moore!AB29=""),"",'H(R+S+L)'!AD29-Moore!AB29)</f>
      </c>
      <c r="AC29" s="341">
        <f>IF(OR('H(R+S+L)'!AE29="N.P.",'H(R+S+L)'!AE29="",Moore!AC29=""),"",'H(R+S+L)'!AE29-Moore!AC29)</f>
      </c>
      <c r="AD29" s="341">
        <f>IF(OR('H(R+S+L)'!AF29="N.P.",'H(R+S+L)'!AF29="",Moore!AD29=""),"",'H(R+S+L)'!AF29-Moore!AD29)</f>
      </c>
      <c r="AE29" s="341">
        <f>IF(OR('H(R+S+L)'!AG29="N.P.",'H(R+S+L)'!AG29="",Moore!AE29=""),"",'H(R+S+L)'!AG29-Moore!AE29)</f>
      </c>
      <c r="AF29" s="341">
        <f>IF(OR('H(R+S+L)'!AH29="N.P.",'H(R+S+L)'!AH29="",Moore!AF29=""),"",'H(R+S+L)'!AH29-Moore!AF29)</f>
      </c>
      <c r="AG29" s="341">
        <f>IF(OR('H(R+S+L)'!AI29="N.P.",'H(R+S+L)'!AI29="",Moore!AG29=""),"",'H(R+S+L)'!AI29-Moore!AG29)</f>
      </c>
      <c r="AH29" s="341">
        <f>IF(OR('H(R+S+L)'!AJ29="N.P.",'H(R+S+L)'!AJ29="",Moore!AH29=""),"",'H(R+S+L)'!AJ29-Moore!AH29)</f>
      </c>
      <c r="AI29" s="341">
        <f>IF(OR('H(R+S+L)'!AK29="N.P.",'H(R+S+L)'!AK29="",Moore!AI29=""),"",'H(R+S+L)'!AK29-Moore!AI29)</f>
      </c>
      <c r="AJ29" s="342">
        <f>IF(OR('H(R+S+L)'!AL29="N.P.",'H(R+S+L)'!AL29="",Moore!AJ29=""),"",'H(R+S+L)'!AL29-Moore!AJ29)</f>
      </c>
      <c r="AK29" s="347">
        <f>IF(OR('H(R+S+L)'!AM29="N.P.",'H(R+S+L)'!AM29="",Moore!AK29=""),"",'H(R+S+L)'!AM29-Moore!AK29)</f>
      </c>
      <c r="AL29" s="341">
        <f>IF(OR('H(R+S+L)'!AN29="N.P.",'H(R+S+L)'!AN29="",Moore!AL29=""),"",'H(R+S+L)'!AN29-Moore!AL29)</f>
      </c>
      <c r="AM29" s="341">
        <f>IF(OR('H(R+S+L)'!AO29="N.P.",'H(R+S+L)'!AO29="",Moore!AM29=""),"",'H(R+S+L)'!AO29-Moore!AM29)</f>
      </c>
      <c r="AN29" s="341">
        <f>IF(OR('H(R+S+L)'!AP29="N.P.",'H(R+S+L)'!AP29="",Moore!AN29=""),"",'H(R+S+L)'!AP29-Moore!AN29)</f>
      </c>
      <c r="AO29" s="341">
        <f>IF(OR('H(R+S+L)'!AQ29="N.P.",'H(R+S+L)'!AQ29="",Moore!AO29=""),"",'H(R+S+L)'!AQ29-Moore!AO29)</f>
      </c>
      <c r="AP29" s="341">
        <f>IF(OR('H(R+S+L)'!AR29="N.P.",'H(R+S+L)'!AR29="",Moore!AP29=""),"",'H(R+S+L)'!AR29-Moore!AP29)</f>
      </c>
      <c r="AQ29" s="341">
        <f>IF(OR('H(R+S+L)'!AS29="N.P.",'H(R+S+L)'!AS29="",Moore!AQ29=""),"",'H(R+S+L)'!AS29-Moore!AQ29)</f>
      </c>
      <c r="AR29" s="341">
        <f>IF(OR('H(R+S+L)'!AT29="N.P.",'H(R+S+L)'!AT29="",Moore!AR29=""),"",'H(R+S+L)'!AT29-Moore!AR29)</f>
      </c>
      <c r="AS29" s="341">
        <f>IF(OR('H(R+S+L)'!AU29="N.P.",'H(R+S+L)'!AU29="",Moore!AS29=""),"",'H(R+S+L)'!AU29-Moore!AS29)</f>
      </c>
      <c r="AT29" s="341">
        <f>IF(OR('H(R+S+L)'!AV29="N.P.",'H(R+S+L)'!AV29="",Moore!AT29=""),"",'H(R+S+L)'!AV29-Moore!AT29)</f>
      </c>
      <c r="AU29" s="342">
        <f>IF(OR('H(R+S+L)'!AW29="N.P.",'H(R+S+L)'!AW29="",Moore!AU29=""),"",'H(R+S+L)'!AW29-Moore!AU29)</f>
      </c>
      <c r="AV29" s="347">
        <f>IF(OR('H(R+S+L)'!AX29="N.P.",'H(R+S+L)'!AX29="",Moore!AV29=""),"",'H(R+S+L)'!AX29-Moore!AV29)</f>
      </c>
      <c r="AW29" s="341">
        <f>IF(OR('H(R+S+L)'!AY29="N.P.",'H(R+S+L)'!AY29="",Moore!AW29=""),"",'H(R+S+L)'!AY29-Moore!AW29)</f>
      </c>
      <c r="AX29" s="341">
        <f>IF(OR('H(R+S+L)'!AZ29="N.P.",'H(R+S+L)'!AZ29="",Moore!AX29=""),"",'H(R+S+L)'!AZ29-Moore!AX29)</f>
      </c>
      <c r="AY29" s="341">
        <f>IF(OR('H(R+S+L)'!BA29="N.P.",'H(R+S+L)'!BA29="",Moore!AY29=""),"",'H(R+S+L)'!BA29-Moore!AY29)</f>
      </c>
      <c r="AZ29" s="341">
        <f>IF(OR('H(R+S+L)'!BB29="N.P.",'H(R+S+L)'!BB29="",Moore!AZ29=""),"",'H(R+S+L)'!BB29-Moore!AZ29)</f>
      </c>
      <c r="BA29" s="341">
        <f>IF(OR('H(R+S+L)'!BC29="N.P.",'H(R+S+L)'!BC29="",Moore!BA29=""),"",'H(R+S+L)'!BC29-Moore!BA29)</f>
      </c>
      <c r="BB29" s="341">
        <f>IF(OR('H(R+S+L)'!BD29="N.P.",'H(R+S+L)'!BD29="",Moore!BB29=""),"",'H(R+S+L)'!BD29-Moore!BB29)</f>
      </c>
      <c r="BC29" s="341">
        <f>IF(OR('H(R+S+L)'!BE29="N.P.",'H(R+S+L)'!BE29="",Moore!BC29=""),"",'H(R+S+L)'!BE29-Moore!BC29)</f>
      </c>
      <c r="BD29" s="341">
        <f>IF(OR('H(R+S+L)'!BF29="N.P.",'H(R+S+L)'!BF29="",Moore!BD29=""),"",'H(R+S+L)'!BF29-Moore!BD29)</f>
      </c>
      <c r="BE29" s="341">
        <f>IF(OR('H(R+S+L)'!BG29="N.P.",'H(R+S+L)'!BG29="",Moore!BE29=""),"",'H(R+S+L)'!BG29-Moore!BE29)</f>
      </c>
      <c r="BF29" s="341">
        <f>IF(OR('H(R+S+L)'!BH29="N.P.",'H(R+S+L)'!BH29="",Moore!BF29=""),"",'H(R+S+L)'!BH29-Moore!BF29)</f>
      </c>
      <c r="BG29" s="341">
        <f>IF(OR('H(R+S+L)'!BI29="N.P.",'H(R+S+L)'!BI29="",Moore!BG29=""),"",'H(R+S+L)'!BI29-Moore!BG29)</f>
      </c>
      <c r="BH29" s="342">
        <f>IF(OR('H(R+S+L)'!BJ29="N.P.",'H(R+S+L)'!BJ29="",Moore!BH29=""),"",'H(R+S+L)'!BJ29-Moore!BH29)</f>
      </c>
    </row>
    <row r="30" spans="7:60" ht="13.5" thickBot="1">
      <c r="G30" s="789"/>
      <c r="H30" s="338">
        <f>'H(R+S+L)'!J30*1-Moore!H30</f>
        <v>0.00018192853895016015</v>
      </c>
      <c r="I30" s="330">
        <v>4</v>
      </c>
      <c r="J30" s="327">
        <v>3.5</v>
      </c>
      <c r="K30" s="328" t="s">
        <v>13</v>
      </c>
      <c r="L30" s="696">
        <f>IF(OR('H(R+S+L)'!N30="N.P.",'H(R+S+L)'!N30="",Moore!L30=""),"",'H(R+S+L)'!N30-Moore!L30)</f>
      </c>
      <c r="M30" s="348">
        <f>IF(OR('H(R+S+L)'!O30="N.P.",'H(R+S+L)'!O30="",Moore!M30=""),"",'H(R+S+L)'!O30-Moore!M30)</f>
      </c>
      <c r="N30" s="343">
        <f>IF(OR('H(R+S+L)'!P30="N.P.",'H(R+S+L)'!P30="",Moore!N30=""),"",'H(R+S+L)'!P30-Moore!N30)</f>
      </c>
      <c r="O30" s="344">
        <f>IF(OR('H(R+S+L)'!Q30="N.P.",'H(R+S+L)'!Q30="",Moore!O30=""),"",'H(R+S+L)'!Q30-Moore!O30)</f>
      </c>
      <c r="P30" s="348">
        <f>IF(OR('H(R+S+L)'!R30="N.P.",'H(R+S+L)'!R30="",Moore!P30=""),"",'H(R+S+L)'!R30-Moore!P30)</f>
      </c>
      <c r="Q30" s="343">
        <f>IF(OR('H(R+S+L)'!S30="N.P.",'H(R+S+L)'!S30="",Moore!Q30=""),"",'H(R+S+L)'!S30-Moore!Q30)</f>
      </c>
      <c r="R30" s="343">
        <f>IF(OR('H(R+S+L)'!T30="N.P.",'H(R+S+L)'!T30="",Moore!R30=""),"",'H(R+S+L)'!T30-Moore!R30)</f>
      </c>
      <c r="S30" s="343">
        <f>IF(OR('H(R+S+L)'!U30="N.P.",'H(R+S+L)'!U30="",Moore!S30=""),"",'H(R+S+L)'!U30-Moore!S30)</f>
        <v>0.08638742383482167</v>
      </c>
      <c r="T30" s="344">
        <f>IF(OR('H(R+S+L)'!V30="N.P.",'H(R+S+L)'!V30="",Moore!T30=""),"",'H(R+S+L)'!V30-Moore!T30)</f>
      </c>
      <c r="U30" s="348">
        <f>IF(OR('H(R+S+L)'!W30="N.P.",'H(R+S+L)'!W30="",Moore!U30=""),"",'H(R+S+L)'!W30-Moore!U30)</f>
      </c>
      <c r="V30" s="343">
        <f>IF(OR('H(R+S+L)'!X30="N.P.",'H(R+S+L)'!X30="",Moore!V30=""),"",'H(R+S+L)'!X30-Moore!V30)</f>
      </c>
      <c r="W30" s="343">
        <f>IF(OR('H(R+S+L)'!Y30="N.P.",'H(R+S+L)'!Y30="",Moore!W30=""),"",'H(R+S+L)'!Y30-Moore!W30)</f>
      </c>
      <c r="X30" s="343">
        <f>IF(OR('H(R+S+L)'!Z30="N.P.",'H(R+S+L)'!Z30="",Moore!X30=""),"",'H(R+S+L)'!Z30-Moore!X30)</f>
      </c>
      <c r="Y30" s="343">
        <f>IF(OR('H(R+S+L)'!AA30="N.P.",'H(R+S+L)'!AA30="",Moore!Y30=""),"",'H(R+S+L)'!AA30-Moore!Y30)</f>
      </c>
      <c r="Z30" s="343">
        <f>IF(OR('H(R+S+L)'!AB30="N.P.",'H(R+S+L)'!AB30="",Moore!Z30=""),"",'H(R+S+L)'!AB30-Moore!Z30)</f>
      </c>
      <c r="AA30" s="344">
        <f>IF(OR('H(R+S+L)'!AC30="N.P.",'H(R+S+L)'!AC30="",Moore!AA30=""),"",'H(R+S+L)'!AC30-Moore!AA30)</f>
      </c>
      <c r="AB30" s="348">
        <f>IF(OR('H(R+S+L)'!AD30="N.P.",'H(R+S+L)'!AD30="",Moore!AB30=""),"",'H(R+S+L)'!AD30-Moore!AB30)</f>
      </c>
      <c r="AC30" s="343">
        <f>IF(OR('H(R+S+L)'!AE30="N.P.",'H(R+S+L)'!AE30="",Moore!AC30=""),"",'H(R+S+L)'!AE30-Moore!AC30)</f>
      </c>
      <c r="AD30" s="343">
        <f>IF(OR('H(R+S+L)'!AF30="N.P.",'H(R+S+L)'!AF30="",Moore!AD30=""),"",'H(R+S+L)'!AF30-Moore!AD30)</f>
      </c>
      <c r="AE30" s="343">
        <f>IF(OR('H(R+S+L)'!AG30="N.P.",'H(R+S+L)'!AG30="",Moore!AE30=""),"",'H(R+S+L)'!AG30-Moore!AE30)</f>
      </c>
      <c r="AF30" s="343">
        <f>IF(OR('H(R+S+L)'!AH30="N.P.",'H(R+S+L)'!AH30="",Moore!AF30=""),"",'H(R+S+L)'!AH30-Moore!AF30)</f>
      </c>
      <c r="AG30" s="343">
        <f>IF(OR('H(R+S+L)'!AI30="N.P.",'H(R+S+L)'!AI30="",Moore!AG30=""),"",'H(R+S+L)'!AI30-Moore!AG30)</f>
      </c>
      <c r="AH30" s="343">
        <f>IF(OR('H(R+S+L)'!AJ30="N.P.",'H(R+S+L)'!AJ30="",Moore!AH30=""),"",'H(R+S+L)'!AJ30-Moore!AH30)</f>
      </c>
      <c r="AI30" s="343">
        <f>IF(OR('H(R+S+L)'!AK30="N.P.",'H(R+S+L)'!AK30="",Moore!AI30=""),"",'H(R+S+L)'!AK30-Moore!AI30)</f>
      </c>
      <c r="AJ30" s="344">
        <f>IF(OR('H(R+S+L)'!AL30="N.P.",'H(R+S+L)'!AL30="",Moore!AJ30=""),"",'H(R+S+L)'!AL30-Moore!AJ30)</f>
      </c>
      <c r="AK30" s="348">
        <f>IF(OR('H(R+S+L)'!AM30="N.P.",'H(R+S+L)'!AM30="",Moore!AK30=""),"",'H(R+S+L)'!AM30-Moore!AK30)</f>
      </c>
      <c r="AL30" s="343">
        <f>IF(OR('H(R+S+L)'!AN30="N.P.",'H(R+S+L)'!AN30="",Moore!AL30=""),"",'H(R+S+L)'!AN30-Moore!AL30)</f>
      </c>
      <c r="AM30" s="343">
        <f>IF(OR('H(R+S+L)'!AO30="N.P.",'H(R+S+L)'!AO30="",Moore!AM30=""),"",'H(R+S+L)'!AO30-Moore!AM30)</f>
      </c>
      <c r="AN30" s="343">
        <f>IF(OR('H(R+S+L)'!AP30="N.P.",'H(R+S+L)'!AP30="",Moore!AN30=""),"",'H(R+S+L)'!AP30-Moore!AN30)</f>
      </c>
      <c r="AO30" s="343">
        <f>IF(OR('H(R+S+L)'!AQ30="N.P.",'H(R+S+L)'!AQ30="",Moore!AO30=""),"",'H(R+S+L)'!AQ30-Moore!AO30)</f>
      </c>
      <c r="AP30" s="343">
        <f>IF(OR('H(R+S+L)'!AR30="N.P.",'H(R+S+L)'!AR30="",Moore!AP30=""),"",'H(R+S+L)'!AR30-Moore!AP30)</f>
      </c>
      <c r="AQ30" s="343">
        <f>IF(OR('H(R+S+L)'!AS30="N.P.",'H(R+S+L)'!AS30="",Moore!AQ30=""),"",'H(R+S+L)'!AS30-Moore!AQ30)</f>
      </c>
      <c r="AR30" s="343">
        <f>IF(OR('H(R+S+L)'!AT30="N.P.",'H(R+S+L)'!AT30="",Moore!AR30=""),"",'H(R+S+L)'!AT30-Moore!AR30)</f>
      </c>
      <c r="AS30" s="343">
        <f>IF(OR('H(R+S+L)'!AU30="N.P.",'H(R+S+L)'!AU30="",Moore!AS30=""),"",'H(R+S+L)'!AU30-Moore!AS30)</f>
      </c>
      <c r="AT30" s="343">
        <f>IF(OR('H(R+S+L)'!AV30="N.P.",'H(R+S+L)'!AV30="",Moore!AT30=""),"",'H(R+S+L)'!AV30-Moore!AT30)</f>
      </c>
      <c r="AU30" s="344">
        <f>IF(OR('H(R+S+L)'!AW30="N.P.",'H(R+S+L)'!AW30="",Moore!AU30=""),"",'H(R+S+L)'!AW30-Moore!AU30)</f>
      </c>
      <c r="AV30" s="348">
        <f>IF(OR('H(R+S+L)'!AX30="N.P.",'H(R+S+L)'!AX30="",Moore!AV30=""),"",'H(R+S+L)'!AX30-Moore!AV30)</f>
      </c>
      <c r="AW30" s="343">
        <f>IF(OR('H(R+S+L)'!AY30="N.P.",'H(R+S+L)'!AY30="",Moore!AW30=""),"",'H(R+S+L)'!AY30-Moore!AW30)</f>
      </c>
      <c r="AX30" s="343">
        <f>IF(OR('H(R+S+L)'!AZ30="N.P.",'H(R+S+L)'!AZ30="",Moore!AX30=""),"",'H(R+S+L)'!AZ30-Moore!AX30)</f>
      </c>
      <c r="AY30" s="343">
        <f>IF(OR('H(R+S+L)'!BA30="N.P.",'H(R+S+L)'!BA30="",Moore!AY30=""),"",'H(R+S+L)'!BA30-Moore!AY30)</f>
      </c>
      <c r="AZ30" s="343">
        <f>IF(OR('H(R+S+L)'!BB30="N.P.",'H(R+S+L)'!BB30="",Moore!AZ30=""),"",'H(R+S+L)'!BB30-Moore!AZ30)</f>
      </c>
      <c r="BA30" s="343">
        <f>IF(OR('H(R+S+L)'!BC30="N.P.",'H(R+S+L)'!BC30="",Moore!BA30=""),"",'H(R+S+L)'!BC30-Moore!BA30)</f>
      </c>
      <c r="BB30" s="343">
        <f>IF(OR('H(R+S+L)'!BD30="N.P.",'H(R+S+L)'!BD30="",Moore!BB30=""),"",'H(R+S+L)'!BD30-Moore!BB30)</f>
      </c>
      <c r="BC30" s="343">
        <f>IF(OR('H(R+S+L)'!BE30="N.P.",'H(R+S+L)'!BE30="",Moore!BC30=""),"",'H(R+S+L)'!BE30-Moore!BC30)</f>
      </c>
      <c r="BD30" s="343">
        <f>IF(OR('H(R+S+L)'!BF30="N.P.",'H(R+S+L)'!BF30="",Moore!BD30=""),"",'H(R+S+L)'!BF30-Moore!BD30)</f>
      </c>
      <c r="BE30" s="343">
        <f>IF(OR('H(R+S+L)'!BG30="N.P.",'H(R+S+L)'!BG30="",Moore!BE30=""),"",'H(R+S+L)'!BG30-Moore!BE30)</f>
      </c>
      <c r="BF30" s="343">
        <f>IF(OR('H(R+S+L)'!BH30="N.P.",'H(R+S+L)'!BH30="",Moore!BF30=""),"",'H(R+S+L)'!BH30-Moore!BF30)</f>
      </c>
      <c r="BG30" s="343">
        <f>IF(OR('H(R+S+L)'!BI30="N.P.",'H(R+S+L)'!BI30="",Moore!BG30=""),"",'H(R+S+L)'!BI30-Moore!BG30)</f>
      </c>
      <c r="BH30" s="344">
        <f>IF(OR('H(R+S+L)'!BJ30="N.P.",'H(R+S+L)'!BJ30="",Moore!BH30=""),"",'H(R+S+L)'!BJ30-Moore!BH30)</f>
      </c>
    </row>
    <row r="31" spans="7:60" ht="13.5" thickTop="1">
      <c r="G31" s="787">
        <f>SUM(H31:H39)/9</f>
        <v>-0.001722057482563994</v>
      </c>
      <c r="H31" s="336">
        <f>'H(R+S+L)'!J31*1-Moore!H31</f>
        <v>-0.004467349644983187</v>
      </c>
      <c r="I31" s="332">
        <v>5</v>
      </c>
      <c r="J31" s="333">
        <v>0.5</v>
      </c>
      <c r="K31" s="334" t="s">
        <v>7</v>
      </c>
      <c r="L31" s="697">
        <f>IF(OR('H(R+S+L)'!N31="N.P.",'H(R+S+L)'!N31="",Moore!L31=""),"",'H(R+S+L)'!N31-Moore!L31)</f>
      </c>
      <c r="M31" s="349">
        <f>IF(OR('H(R+S+L)'!O31="N.P.",'H(R+S+L)'!O31="",Moore!M31=""),"",'H(R+S+L)'!O31-Moore!M31)</f>
      </c>
      <c r="N31" s="345">
        <f>IF(OR('H(R+S+L)'!P31="N.P.",'H(R+S+L)'!P31="",Moore!N31=""),"",'H(R+S+L)'!P31-Moore!N31)</f>
        <v>0.0005655997620124253</v>
      </c>
      <c r="O31" s="346">
        <f>IF(OR('H(R+S+L)'!Q31="N.P.",'H(R+S+L)'!Q31="",Moore!O31=""),"",'H(R+S+L)'!Q31-Moore!O31)</f>
        <v>0.0006566923339050845</v>
      </c>
      <c r="P31" s="349">
        <f>IF(OR('H(R+S+L)'!R31="N.P.",'H(R+S+L)'!R31="",Moore!P31=""),"",'H(R+S+L)'!R31-Moore!P31)</f>
      </c>
      <c r="Q31" s="345">
        <f>IF(OR('H(R+S+L)'!S31="N.P.",'H(R+S+L)'!S31="",Moore!Q31=""),"",'H(R+S+L)'!S31-Moore!Q31)</f>
        <v>0.0020804719970328733</v>
      </c>
      <c r="R31" s="345">
        <f>IF(OR('H(R+S+L)'!T31="N.P.",'H(R+S+L)'!T31="",Moore!R31=""),"",'H(R+S+L)'!T31-Moore!R31)</f>
        <v>0.0072211529204651015</v>
      </c>
      <c r="S31" s="345">
        <f>IF(OR('H(R+S+L)'!U31="N.P.",'H(R+S+L)'!U31="",Moore!S31=""),"",'H(R+S+L)'!U31-Moore!S31)</f>
      </c>
      <c r="T31" s="346">
        <f>IF(OR('H(R+S+L)'!V31="N.P.",'H(R+S+L)'!V31="",Moore!T31=""),"",'H(R+S+L)'!V31-Moore!T31)</f>
      </c>
      <c r="U31" s="349">
        <f>IF(OR('H(R+S+L)'!W31="N.P.",'H(R+S+L)'!W31="",Moore!U31=""),"",'H(R+S+L)'!W31-Moore!U31)</f>
      </c>
      <c r="V31" s="345">
        <f>IF(OR('H(R+S+L)'!X31="N.P.",'H(R+S+L)'!X31="",Moore!V31=""),"",'H(R+S+L)'!X31-Moore!V31)</f>
        <v>-0.03581680638308171</v>
      </c>
      <c r="W31" s="345">
        <f>IF(OR('H(R+S+L)'!Y31="N.P.",'H(R+S+L)'!Y31="",Moore!W31=""),"",'H(R+S+L)'!Y31-Moore!W31)</f>
        <v>0.005655401066178456</v>
      </c>
      <c r="X31" s="345">
        <f>IF(OR('H(R+S+L)'!Z31="N.P.",'H(R+S+L)'!Z31="",Moore!X31=""),"",'H(R+S+L)'!Z31-Moore!X31)</f>
      </c>
      <c r="Y31" s="345">
        <f>IF(OR('H(R+S+L)'!AA31="N.P.",'H(R+S+L)'!AA31="",Moore!Y31=""),"",'H(R+S+L)'!AA31-Moore!Y31)</f>
      </c>
      <c r="Z31" s="345">
        <f>IF(OR('H(R+S+L)'!AB31="N.P.",'H(R+S+L)'!AB31="",Moore!Z31=""),"",'H(R+S+L)'!AB31-Moore!Z31)</f>
      </c>
      <c r="AA31" s="346">
        <f>IF(OR('H(R+S+L)'!AC31="N.P.",'H(R+S+L)'!AC31="",Moore!AA31=""),"",'H(R+S+L)'!AC31-Moore!AA31)</f>
      </c>
      <c r="AB31" s="349">
        <f>IF(OR('H(R+S+L)'!AD31="N.P.",'H(R+S+L)'!AD31="",Moore!AB31=""),"",'H(R+S+L)'!AD31-Moore!AB31)</f>
      </c>
      <c r="AC31" s="345">
        <f>IF(OR('H(R+S+L)'!AE31="N.P.",'H(R+S+L)'!AE31="",Moore!AC31=""),"",'H(R+S+L)'!AE31-Moore!AC31)</f>
      </c>
      <c r="AD31" s="345">
        <f>IF(OR('H(R+S+L)'!AF31="N.P.",'H(R+S+L)'!AF31="",Moore!AD31=""),"",'H(R+S+L)'!AF31-Moore!AD31)</f>
      </c>
      <c r="AE31" s="345">
        <f>IF(OR('H(R+S+L)'!AG31="N.P.",'H(R+S+L)'!AG31="",Moore!AE31=""),"",'H(R+S+L)'!AG31-Moore!AE31)</f>
      </c>
      <c r="AF31" s="345">
        <f>IF(OR('H(R+S+L)'!AH31="N.P.",'H(R+S+L)'!AH31="",Moore!AF31=""),"",'H(R+S+L)'!AH31-Moore!AF31)</f>
      </c>
      <c r="AG31" s="345">
        <f>IF(OR('H(R+S+L)'!AI31="N.P.",'H(R+S+L)'!AI31="",Moore!AG31=""),"",'H(R+S+L)'!AI31-Moore!AG31)</f>
      </c>
      <c r="AH31" s="345">
        <f>IF(OR('H(R+S+L)'!AJ31="N.P.",'H(R+S+L)'!AJ31="",Moore!AH31=""),"",'H(R+S+L)'!AJ31-Moore!AH31)</f>
      </c>
      <c r="AI31" s="345">
        <f>IF(OR('H(R+S+L)'!AK31="N.P.",'H(R+S+L)'!AK31="",Moore!AI31=""),"",'H(R+S+L)'!AK31-Moore!AI31)</f>
      </c>
      <c r="AJ31" s="346">
        <f>IF(OR('H(R+S+L)'!AL31="N.P.",'H(R+S+L)'!AL31="",Moore!AJ31=""),"",'H(R+S+L)'!AL31-Moore!AJ31)</f>
      </c>
      <c r="AK31" s="349">
        <f>IF(OR('H(R+S+L)'!AM31="N.P.",'H(R+S+L)'!AM31="",Moore!AK31=""),"",'H(R+S+L)'!AM31-Moore!AK31)</f>
      </c>
      <c r="AL31" s="345">
        <f>IF(OR('H(R+S+L)'!AN31="N.P.",'H(R+S+L)'!AN31="",Moore!AL31=""),"",'H(R+S+L)'!AN31-Moore!AL31)</f>
      </c>
      <c r="AM31" s="345">
        <f>IF(OR('H(R+S+L)'!AO31="N.P.",'H(R+S+L)'!AO31="",Moore!AM31=""),"",'H(R+S+L)'!AO31-Moore!AM31)</f>
      </c>
      <c r="AN31" s="345">
        <f>IF(OR('H(R+S+L)'!AP31="N.P.",'H(R+S+L)'!AP31="",Moore!AN31=""),"",'H(R+S+L)'!AP31-Moore!AN31)</f>
      </c>
      <c r="AO31" s="345">
        <f>IF(OR('H(R+S+L)'!AQ31="N.P.",'H(R+S+L)'!AQ31="",Moore!AO31=""),"",'H(R+S+L)'!AQ31-Moore!AO31)</f>
      </c>
      <c r="AP31" s="345">
        <f>IF(OR('H(R+S+L)'!AR31="N.P.",'H(R+S+L)'!AR31="",Moore!AP31=""),"",'H(R+S+L)'!AR31-Moore!AP31)</f>
      </c>
      <c r="AQ31" s="345">
        <f>IF(OR('H(R+S+L)'!AS31="N.P.",'H(R+S+L)'!AS31="",Moore!AQ31=""),"",'H(R+S+L)'!AS31-Moore!AQ31)</f>
      </c>
      <c r="AR31" s="345">
        <f>IF(OR('H(R+S+L)'!AT31="N.P.",'H(R+S+L)'!AT31="",Moore!AR31=""),"",'H(R+S+L)'!AT31-Moore!AR31)</f>
      </c>
      <c r="AS31" s="345">
        <f>IF(OR('H(R+S+L)'!AU31="N.P.",'H(R+S+L)'!AU31="",Moore!AS31=""),"",'H(R+S+L)'!AU31-Moore!AS31)</f>
      </c>
      <c r="AT31" s="345">
        <f>IF(OR('H(R+S+L)'!AV31="N.P.",'H(R+S+L)'!AV31="",Moore!AT31=""),"",'H(R+S+L)'!AV31-Moore!AT31)</f>
      </c>
      <c r="AU31" s="346">
        <f>IF(OR('H(R+S+L)'!AW31="N.P.",'H(R+S+L)'!AW31="",Moore!AU31=""),"",'H(R+S+L)'!AW31-Moore!AU31)</f>
      </c>
      <c r="AV31" s="349">
        <f>IF(OR('H(R+S+L)'!AX31="N.P.",'H(R+S+L)'!AX31="",Moore!AV31=""),"",'H(R+S+L)'!AX31-Moore!AV31)</f>
      </c>
      <c r="AW31" s="345">
        <f>IF(OR('H(R+S+L)'!AY31="N.P.",'H(R+S+L)'!AY31="",Moore!AW31=""),"",'H(R+S+L)'!AY31-Moore!AW31)</f>
      </c>
      <c r="AX31" s="345">
        <f>IF(OR('H(R+S+L)'!AZ31="N.P.",'H(R+S+L)'!AZ31="",Moore!AX31=""),"",'H(R+S+L)'!AZ31-Moore!AX31)</f>
      </c>
      <c r="AY31" s="345">
        <f>IF(OR('H(R+S+L)'!BA31="N.P.",'H(R+S+L)'!BA31="",Moore!AY31=""),"",'H(R+S+L)'!BA31-Moore!AY31)</f>
      </c>
      <c r="AZ31" s="345">
        <f>IF(OR('H(R+S+L)'!BB31="N.P.",'H(R+S+L)'!BB31="",Moore!AZ31=""),"",'H(R+S+L)'!BB31-Moore!AZ31)</f>
      </c>
      <c r="BA31" s="345">
        <f>IF(OR('H(R+S+L)'!BC31="N.P.",'H(R+S+L)'!BC31="",Moore!BA31=""),"",'H(R+S+L)'!BC31-Moore!BA31)</f>
      </c>
      <c r="BB31" s="345">
        <f>IF(OR('H(R+S+L)'!BD31="N.P.",'H(R+S+L)'!BD31="",Moore!BB31=""),"",'H(R+S+L)'!BD31-Moore!BB31)</f>
      </c>
      <c r="BC31" s="345">
        <f>IF(OR('H(R+S+L)'!BE31="N.P.",'H(R+S+L)'!BE31="",Moore!BC31=""),"",'H(R+S+L)'!BE31-Moore!BC31)</f>
      </c>
      <c r="BD31" s="345">
        <f>IF(OR('H(R+S+L)'!BF31="N.P.",'H(R+S+L)'!BF31="",Moore!BD31=""),"",'H(R+S+L)'!BF31-Moore!BD31)</f>
      </c>
      <c r="BE31" s="345">
        <f>IF(OR('H(R+S+L)'!BG31="N.P.",'H(R+S+L)'!BG31="",Moore!BE31=""),"",'H(R+S+L)'!BG31-Moore!BE31)</f>
      </c>
      <c r="BF31" s="345">
        <f>IF(OR('H(R+S+L)'!BH31="N.P.",'H(R+S+L)'!BH31="",Moore!BF31=""),"",'H(R+S+L)'!BH31-Moore!BF31)</f>
      </c>
      <c r="BG31" s="345">
        <f>IF(OR('H(R+S+L)'!BI31="N.P.",'H(R+S+L)'!BI31="",Moore!BG31=""),"",'H(R+S+L)'!BI31-Moore!BG31)</f>
      </c>
      <c r="BH31" s="346">
        <f>IF(OR('H(R+S+L)'!BJ31="N.P.",'H(R+S+L)'!BJ31="",Moore!BH31=""),"",'H(R+S+L)'!BJ31-Moore!BH31)</f>
      </c>
    </row>
    <row r="32" spans="7:60" ht="12.75">
      <c r="G32" s="788"/>
      <c r="H32" s="337">
        <f>'H(R+S+L)'!J32*1-Moore!H32</f>
        <v>-0.005827696470078081</v>
      </c>
      <c r="I32" s="297">
        <v>5</v>
      </c>
      <c r="J32" s="298">
        <v>1.5</v>
      </c>
      <c r="K32" s="296" t="s">
        <v>8</v>
      </c>
      <c r="L32" s="695">
        <f>IF(OR('H(R+S+L)'!N32="N.P.",'H(R+S+L)'!N32="",Moore!L32=""),"",'H(R+S+L)'!N32-Moore!L32)</f>
        <v>2.9801990422129165E-06</v>
      </c>
      <c r="M32" s="347">
        <f>IF(OR('H(R+S+L)'!O32="N.P.",'H(R+S+L)'!O32="",Moore!M32=""),"",'H(R+S+L)'!O32-Moore!M32)</f>
        <v>0.0008047198525673593</v>
      </c>
      <c r="N32" s="341">
        <f>IF(OR('H(R+S+L)'!P32="N.P.",'H(R+S+L)'!P32="",Moore!N32=""),"",'H(R+S+L)'!P32-Moore!N32)</f>
      </c>
      <c r="O32" s="342">
        <f>IF(OR('H(R+S+L)'!Q32="N.P.",'H(R+S+L)'!Q32="",Moore!O32=""),"",'H(R+S+L)'!Q32-Moore!O32)</f>
      </c>
      <c r="P32" s="347">
        <f>IF(OR('H(R+S+L)'!R32="N.P.",'H(R+S+L)'!R32="",Moore!P32=""),"",'H(R+S+L)'!R32-Moore!P32)</f>
        <v>0.009239908215022297</v>
      </c>
      <c r="Q32" s="341">
        <f>IF(OR('H(R+S+L)'!S32="N.P.",'H(R+S+L)'!S32="",Moore!Q32=""),"",'H(R+S+L)'!S32-Moore!Q32)</f>
      </c>
      <c r="R32" s="341">
        <f>IF(OR('H(R+S+L)'!T32="N.P.",'H(R+S+L)'!T32="",Moore!R32=""),"",'H(R+S+L)'!T32-Moore!R32)</f>
      </c>
      <c r="S32" s="341">
        <f>IF(OR('H(R+S+L)'!U32="N.P.",'H(R+S+L)'!U32="",Moore!S32=""),"",'H(R+S+L)'!U32-Moore!S32)</f>
      </c>
      <c r="T32" s="342">
        <f>IF(OR('H(R+S+L)'!V32="N.P.",'H(R+S+L)'!V32="",Moore!T32=""),"",'H(R+S+L)'!V32-Moore!T32)</f>
      </c>
      <c r="U32" s="347">
        <f>IF(OR('H(R+S+L)'!W32="N.P.",'H(R+S+L)'!W32="",Moore!U32=""),"",'H(R+S+L)'!W32-Moore!U32)</f>
        <v>0.055137435054348316</v>
      </c>
      <c r="V32" s="341">
        <f>IF(OR('H(R+S+L)'!X32="N.P.",'H(R+S+L)'!X32="",Moore!V32=""),"",'H(R+S+L)'!X32-Moore!V32)</f>
      </c>
      <c r="W32" s="341">
        <f>IF(OR('H(R+S+L)'!Y32="N.P.",'H(R+S+L)'!Y32="",Moore!W32=""),"",'H(R+S+L)'!Y32-Moore!W32)</f>
      </c>
      <c r="X32" s="341">
        <f>IF(OR('H(R+S+L)'!Z32="N.P.",'H(R+S+L)'!Z32="",Moore!X32=""),"",'H(R+S+L)'!Z32-Moore!X32)</f>
      </c>
      <c r="Y32" s="341">
        <f>IF(OR('H(R+S+L)'!AA32="N.P.",'H(R+S+L)'!AA32="",Moore!Y32=""),"",'H(R+S+L)'!AA32-Moore!Y32)</f>
      </c>
      <c r="Z32" s="341">
        <f>IF(OR('H(R+S+L)'!AB32="N.P.",'H(R+S+L)'!AB32="",Moore!Z32=""),"",'H(R+S+L)'!AB32-Moore!Z32)</f>
      </c>
      <c r="AA32" s="342">
        <f>IF(OR('H(R+S+L)'!AC32="N.P.",'H(R+S+L)'!AC32="",Moore!AA32=""),"",'H(R+S+L)'!AC32-Moore!AA32)</f>
      </c>
      <c r="AB32" s="347">
        <f>IF(OR('H(R+S+L)'!AD32="N.P.",'H(R+S+L)'!AD32="",Moore!AB32=""),"",'H(R+S+L)'!AD32-Moore!AB32)</f>
      </c>
      <c r="AC32" s="341">
        <f>IF(OR('H(R+S+L)'!AE32="N.P.",'H(R+S+L)'!AE32="",Moore!AC32=""),"",'H(R+S+L)'!AE32-Moore!AC32)</f>
      </c>
      <c r="AD32" s="341">
        <f>IF(OR('H(R+S+L)'!AF32="N.P.",'H(R+S+L)'!AF32="",Moore!AD32=""),"",'H(R+S+L)'!AF32-Moore!AD32)</f>
      </c>
      <c r="AE32" s="341">
        <f>IF(OR('H(R+S+L)'!AG32="N.P.",'H(R+S+L)'!AG32="",Moore!AE32=""),"",'H(R+S+L)'!AG32-Moore!AE32)</f>
      </c>
      <c r="AF32" s="341">
        <f>IF(OR('H(R+S+L)'!AH32="N.P.",'H(R+S+L)'!AH32="",Moore!AF32=""),"",'H(R+S+L)'!AH32-Moore!AF32)</f>
      </c>
      <c r="AG32" s="341">
        <f>IF(OR('H(R+S+L)'!AI32="N.P.",'H(R+S+L)'!AI32="",Moore!AG32=""),"",'H(R+S+L)'!AI32-Moore!AG32)</f>
      </c>
      <c r="AH32" s="341">
        <f>IF(OR('H(R+S+L)'!AJ32="N.P.",'H(R+S+L)'!AJ32="",Moore!AH32=""),"",'H(R+S+L)'!AJ32-Moore!AH32)</f>
      </c>
      <c r="AI32" s="341">
        <f>IF(OR('H(R+S+L)'!AK32="N.P.",'H(R+S+L)'!AK32="",Moore!AI32=""),"",'H(R+S+L)'!AK32-Moore!AI32)</f>
      </c>
      <c r="AJ32" s="342">
        <f>IF(OR('H(R+S+L)'!AL32="N.P.",'H(R+S+L)'!AL32="",Moore!AJ32=""),"",'H(R+S+L)'!AL32-Moore!AJ32)</f>
      </c>
      <c r="AK32" s="347">
        <f>IF(OR('H(R+S+L)'!AM32="N.P.",'H(R+S+L)'!AM32="",Moore!AK32=""),"",'H(R+S+L)'!AM32-Moore!AK32)</f>
      </c>
      <c r="AL32" s="341">
        <f>IF(OR('H(R+S+L)'!AN32="N.P.",'H(R+S+L)'!AN32="",Moore!AL32=""),"",'H(R+S+L)'!AN32-Moore!AL32)</f>
      </c>
      <c r="AM32" s="341">
        <f>IF(OR('H(R+S+L)'!AO32="N.P.",'H(R+S+L)'!AO32="",Moore!AM32=""),"",'H(R+S+L)'!AO32-Moore!AM32)</f>
      </c>
      <c r="AN32" s="341">
        <f>IF(OR('H(R+S+L)'!AP32="N.P.",'H(R+S+L)'!AP32="",Moore!AN32=""),"",'H(R+S+L)'!AP32-Moore!AN32)</f>
      </c>
      <c r="AO32" s="341">
        <f>IF(OR('H(R+S+L)'!AQ32="N.P.",'H(R+S+L)'!AQ32="",Moore!AO32=""),"",'H(R+S+L)'!AQ32-Moore!AO32)</f>
      </c>
      <c r="AP32" s="341">
        <f>IF(OR('H(R+S+L)'!AR32="N.P.",'H(R+S+L)'!AR32="",Moore!AP32=""),"",'H(R+S+L)'!AR32-Moore!AP32)</f>
      </c>
      <c r="AQ32" s="341">
        <f>IF(OR('H(R+S+L)'!AS32="N.P.",'H(R+S+L)'!AS32="",Moore!AQ32=""),"",'H(R+S+L)'!AS32-Moore!AQ32)</f>
      </c>
      <c r="AR32" s="341">
        <f>IF(OR('H(R+S+L)'!AT32="N.P.",'H(R+S+L)'!AT32="",Moore!AR32=""),"",'H(R+S+L)'!AT32-Moore!AR32)</f>
      </c>
      <c r="AS32" s="341">
        <f>IF(OR('H(R+S+L)'!AU32="N.P.",'H(R+S+L)'!AU32="",Moore!AS32=""),"",'H(R+S+L)'!AU32-Moore!AS32)</f>
      </c>
      <c r="AT32" s="341">
        <f>IF(OR('H(R+S+L)'!AV32="N.P.",'H(R+S+L)'!AV32="",Moore!AT32=""),"",'H(R+S+L)'!AV32-Moore!AT32)</f>
      </c>
      <c r="AU32" s="342">
        <f>IF(OR('H(R+S+L)'!AW32="N.P.",'H(R+S+L)'!AW32="",Moore!AU32=""),"",'H(R+S+L)'!AW32-Moore!AU32)</f>
      </c>
      <c r="AV32" s="347">
        <f>IF(OR('H(R+S+L)'!AX32="N.P.",'H(R+S+L)'!AX32="",Moore!AV32=""),"",'H(R+S+L)'!AX32-Moore!AV32)</f>
      </c>
      <c r="AW32" s="341">
        <f>IF(OR('H(R+S+L)'!AY32="N.P.",'H(R+S+L)'!AY32="",Moore!AW32=""),"",'H(R+S+L)'!AY32-Moore!AW32)</f>
      </c>
      <c r="AX32" s="341">
        <f>IF(OR('H(R+S+L)'!AZ32="N.P.",'H(R+S+L)'!AZ32="",Moore!AX32=""),"",'H(R+S+L)'!AZ32-Moore!AX32)</f>
      </c>
      <c r="AY32" s="341">
        <f>IF(OR('H(R+S+L)'!BA32="N.P.",'H(R+S+L)'!BA32="",Moore!AY32=""),"",'H(R+S+L)'!BA32-Moore!AY32)</f>
      </c>
      <c r="AZ32" s="341">
        <f>IF(OR('H(R+S+L)'!BB32="N.P.",'H(R+S+L)'!BB32="",Moore!AZ32=""),"",'H(R+S+L)'!BB32-Moore!AZ32)</f>
      </c>
      <c r="BA32" s="341">
        <f>IF(OR('H(R+S+L)'!BC32="N.P.",'H(R+S+L)'!BC32="",Moore!BA32=""),"",'H(R+S+L)'!BC32-Moore!BA32)</f>
      </c>
      <c r="BB32" s="341">
        <f>IF(OR('H(R+S+L)'!BD32="N.P.",'H(R+S+L)'!BD32="",Moore!BB32=""),"",'H(R+S+L)'!BD32-Moore!BB32)</f>
      </c>
      <c r="BC32" s="341">
        <f>IF(OR('H(R+S+L)'!BE32="N.P.",'H(R+S+L)'!BE32="",Moore!BC32=""),"",'H(R+S+L)'!BE32-Moore!BC32)</f>
      </c>
      <c r="BD32" s="341">
        <f>IF(OR('H(R+S+L)'!BF32="N.P.",'H(R+S+L)'!BF32="",Moore!BD32=""),"",'H(R+S+L)'!BF32-Moore!BD32)</f>
      </c>
      <c r="BE32" s="341">
        <f>IF(OR('H(R+S+L)'!BG32="N.P.",'H(R+S+L)'!BG32="",Moore!BE32=""),"",'H(R+S+L)'!BG32-Moore!BE32)</f>
      </c>
      <c r="BF32" s="341">
        <f>IF(OR('H(R+S+L)'!BH32="N.P.",'H(R+S+L)'!BH32="",Moore!BF32=""),"",'H(R+S+L)'!BH32-Moore!BF32)</f>
      </c>
      <c r="BG32" s="341">
        <f>IF(OR('H(R+S+L)'!BI32="N.P.",'H(R+S+L)'!BI32="",Moore!BG32=""),"",'H(R+S+L)'!BI32-Moore!BG32)</f>
      </c>
      <c r="BH32" s="342">
        <f>IF(OR('H(R+S+L)'!BJ32="N.P.",'H(R+S+L)'!BJ32="",Moore!BH32=""),"",'H(R+S+L)'!BJ32-Moore!BH32)</f>
      </c>
    </row>
    <row r="33" spans="7:60" ht="12.75">
      <c r="G33" s="788"/>
      <c r="H33" s="337">
        <f>'H(R+S+L)'!J33*1-Moore!H33</f>
        <v>-0.0037287713639670983</v>
      </c>
      <c r="I33" s="297">
        <v>5</v>
      </c>
      <c r="J33" s="298">
        <v>1.5</v>
      </c>
      <c r="K33" s="296" t="s">
        <v>9</v>
      </c>
      <c r="L33" s="695">
        <f>IF(OR('H(R+S+L)'!N33="N.P.",'H(R+S+L)'!N33="",Moore!L33=""),"",'H(R+S+L)'!N33-Moore!L33)</f>
        <v>5.305014383338857E-07</v>
      </c>
      <c r="M33" s="347">
        <f>IF(OR('H(R+S+L)'!O33="N.P.",'H(R+S+L)'!O33="",Moore!M33=""),"",'H(R+S+L)'!O33-Moore!M33)</f>
        <v>0.00043190899759792956</v>
      </c>
      <c r="N33" s="341">
        <f>IF(OR('H(R+S+L)'!P33="N.P.",'H(R+S+L)'!P33="",Moore!N33=""),"",'H(R+S+L)'!P33-Moore!N33)</f>
      </c>
      <c r="O33" s="342">
        <f>IF(OR('H(R+S+L)'!Q33="N.P.",'H(R+S+L)'!Q33="",Moore!O33=""),"",'H(R+S+L)'!Q33-Moore!O33)</f>
      </c>
      <c r="P33" s="347">
        <f>IF(OR('H(R+S+L)'!R33="N.P.",'H(R+S+L)'!R33="",Moore!P33=""),"",'H(R+S+L)'!R33-Moore!P33)</f>
        <v>0.007233305181216565</v>
      </c>
      <c r="Q33" s="341">
        <f>IF(OR('H(R+S+L)'!S33="N.P.",'H(R+S+L)'!S33="",Moore!Q33=""),"",'H(R+S+L)'!S33-Moore!Q33)</f>
      </c>
      <c r="R33" s="341">
        <f>IF(OR('H(R+S+L)'!T33="N.P.",'H(R+S+L)'!T33="",Moore!R33=""),"",'H(R+S+L)'!T33-Moore!R33)</f>
      </c>
      <c r="S33" s="341">
        <f>IF(OR('H(R+S+L)'!U33="N.P.",'H(R+S+L)'!U33="",Moore!S33=""),"",'H(R+S+L)'!U33-Moore!S33)</f>
      </c>
      <c r="T33" s="342">
        <f>IF(OR('H(R+S+L)'!V33="N.P.",'H(R+S+L)'!V33="",Moore!T33=""),"",'H(R+S+L)'!V33-Moore!T33)</f>
      </c>
      <c r="U33" s="347">
        <f>IF(OR('H(R+S+L)'!W33="N.P.",'H(R+S+L)'!W33="",Moore!U33=""),"",'H(R+S+L)'!W33-Moore!U33)</f>
        <v>0.004664833650167566</v>
      </c>
      <c r="V33" s="341">
        <f>IF(OR('H(R+S+L)'!X33="N.P.",'H(R+S+L)'!X33="",Moore!V33=""),"",'H(R+S+L)'!X33-Moore!V33)</f>
      </c>
      <c r="W33" s="341">
        <f>IF(OR('H(R+S+L)'!Y33="N.P.",'H(R+S+L)'!Y33="",Moore!W33=""),"",'H(R+S+L)'!Y33-Moore!W33)</f>
      </c>
      <c r="X33" s="341">
        <f>IF(OR('H(R+S+L)'!Z33="N.P.",'H(R+S+L)'!Z33="",Moore!X33=""),"",'H(R+S+L)'!Z33-Moore!X33)</f>
      </c>
      <c r="Y33" s="341">
        <f>IF(OR('H(R+S+L)'!AA33="N.P.",'H(R+S+L)'!AA33="",Moore!Y33=""),"",'H(R+S+L)'!AA33-Moore!Y33)</f>
      </c>
      <c r="Z33" s="341">
        <f>IF(OR('H(R+S+L)'!AB33="N.P.",'H(R+S+L)'!AB33="",Moore!Z33=""),"",'H(R+S+L)'!AB33-Moore!Z33)</f>
      </c>
      <c r="AA33" s="342">
        <f>IF(OR('H(R+S+L)'!AC33="N.P.",'H(R+S+L)'!AC33="",Moore!AA33=""),"",'H(R+S+L)'!AC33-Moore!AA33)</f>
      </c>
      <c r="AB33" s="347">
        <f>IF(OR('H(R+S+L)'!AD33="N.P.",'H(R+S+L)'!AD33="",Moore!AB33=""),"",'H(R+S+L)'!AD33-Moore!AB33)</f>
      </c>
      <c r="AC33" s="341">
        <f>IF(OR('H(R+S+L)'!AE33="N.P.",'H(R+S+L)'!AE33="",Moore!AC33=""),"",'H(R+S+L)'!AE33-Moore!AC33)</f>
      </c>
      <c r="AD33" s="341">
        <f>IF(OR('H(R+S+L)'!AF33="N.P.",'H(R+S+L)'!AF33="",Moore!AD33=""),"",'H(R+S+L)'!AF33-Moore!AD33)</f>
      </c>
      <c r="AE33" s="341">
        <f>IF(OR('H(R+S+L)'!AG33="N.P.",'H(R+S+L)'!AG33="",Moore!AE33=""),"",'H(R+S+L)'!AG33-Moore!AE33)</f>
      </c>
      <c r="AF33" s="341">
        <f>IF(OR('H(R+S+L)'!AH33="N.P.",'H(R+S+L)'!AH33="",Moore!AF33=""),"",'H(R+S+L)'!AH33-Moore!AF33)</f>
      </c>
      <c r="AG33" s="341">
        <f>IF(OR('H(R+S+L)'!AI33="N.P.",'H(R+S+L)'!AI33="",Moore!AG33=""),"",'H(R+S+L)'!AI33-Moore!AG33)</f>
      </c>
      <c r="AH33" s="341">
        <f>IF(OR('H(R+S+L)'!AJ33="N.P.",'H(R+S+L)'!AJ33="",Moore!AH33=""),"",'H(R+S+L)'!AJ33-Moore!AH33)</f>
      </c>
      <c r="AI33" s="341">
        <f>IF(OR('H(R+S+L)'!AK33="N.P.",'H(R+S+L)'!AK33="",Moore!AI33=""),"",'H(R+S+L)'!AK33-Moore!AI33)</f>
      </c>
      <c r="AJ33" s="342">
        <f>IF(OR('H(R+S+L)'!AL33="N.P.",'H(R+S+L)'!AL33="",Moore!AJ33=""),"",'H(R+S+L)'!AL33-Moore!AJ33)</f>
      </c>
      <c r="AK33" s="347">
        <f>IF(OR('H(R+S+L)'!AM33="N.P.",'H(R+S+L)'!AM33="",Moore!AK33=""),"",'H(R+S+L)'!AM33-Moore!AK33)</f>
      </c>
      <c r="AL33" s="341">
        <f>IF(OR('H(R+S+L)'!AN33="N.P.",'H(R+S+L)'!AN33="",Moore!AL33=""),"",'H(R+S+L)'!AN33-Moore!AL33)</f>
      </c>
      <c r="AM33" s="341">
        <f>IF(OR('H(R+S+L)'!AO33="N.P.",'H(R+S+L)'!AO33="",Moore!AM33=""),"",'H(R+S+L)'!AO33-Moore!AM33)</f>
      </c>
      <c r="AN33" s="341">
        <f>IF(OR('H(R+S+L)'!AP33="N.P.",'H(R+S+L)'!AP33="",Moore!AN33=""),"",'H(R+S+L)'!AP33-Moore!AN33)</f>
      </c>
      <c r="AO33" s="341">
        <f>IF(OR('H(R+S+L)'!AQ33="N.P.",'H(R+S+L)'!AQ33="",Moore!AO33=""),"",'H(R+S+L)'!AQ33-Moore!AO33)</f>
      </c>
      <c r="AP33" s="341">
        <f>IF(OR('H(R+S+L)'!AR33="N.P.",'H(R+S+L)'!AR33="",Moore!AP33=""),"",'H(R+S+L)'!AR33-Moore!AP33)</f>
      </c>
      <c r="AQ33" s="341">
        <f>IF(OR('H(R+S+L)'!AS33="N.P.",'H(R+S+L)'!AS33="",Moore!AQ33=""),"",'H(R+S+L)'!AS33-Moore!AQ33)</f>
      </c>
      <c r="AR33" s="341">
        <f>IF(OR('H(R+S+L)'!AT33="N.P.",'H(R+S+L)'!AT33="",Moore!AR33=""),"",'H(R+S+L)'!AT33-Moore!AR33)</f>
      </c>
      <c r="AS33" s="341">
        <f>IF(OR('H(R+S+L)'!AU33="N.P.",'H(R+S+L)'!AU33="",Moore!AS33=""),"",'H(R+S+L)'!AU33-Moore!AS33)</f>
      </c>
      <c r="AT33" s="341">
        <f>IF(OR('H(R+S+L)'!AV33="N.P.",'H(R+S+L)'!AV33="",Moore!AT33=""),"",'H(R+S+L)'!AV33-Moore!AT33)</f>
      </c>
      <c r="AU33" s="342">
        <f>IF(OR('H(R+S+L)'!AW33="N.P.",'H(R+S+L)'!AW33="",Moore!AU33=""),"",'H(R+S+L)'!AW33-Moore!AU33)</f>
      </c>
      <c r="AV33" s="347">
        <f>IF(OR('H(R+S+L)'!AX33="N.P.",'H(R+S+L)'!AX33="",Moore!AV33=""),"",'H(R+S+L)'!AX33-Moore!AV33)</f>
      </c>
      <c r="AW33" s="341">
        <f>IF(OR('H(R+S+L)'!AY33="N.P.",'H(R+S+L)'!AY33="",Moore!AW33=""),"",'H(R+S+L)'!AY33-Moore!AW33)</f>
      </c>
      <c r="AX33" s="341">
        <f>IF(OR('H(R+S+L)'!AZ33="N.P.",'H(R+S+L)'!AZ33="",Moore!AX33=""),"",'H(R+S+L)'!AZ33-Moore!AX33)</f>
      </c>
      <c r="AY33" s="341">
        <f>IF(OR('H(R+S+L)'!BA33="N.P.",'H(R+S+L)'!BA33="",Moore!AY33=""),"",'H(R+S+L)'!BA33-Moore!AY33)</f>
      </c>
      <c r="AZ33" s="341">
        <f>IF(OR('H(R+S+L)'!BB33="N.P.",'H(R+S+L)'!BB33="",Moore!AZ33=""),"",'H(R+S+L)'!BB33-Moore!AZ33)</f>
      </c>
      <c r="BA33" s="341">
        <f>IF(OR('H(R+S+L)'!BC33="N.P.",'H(R+S+L)'!BC33="",Moore!BA33=""),"",'H(R+S+L)'!BC33-Moore!BA33)</f>
      </c>
      <c r="BB33" s="341">
        <f>IF(OR('H(R+S+L)'!BD33="N.P.",'H(R+S+L)'!BD33="",Moore!BB33=""),"",'H(R+S+L)'!BD33-Moore!BB33)</f>
      </c>
      <c r="BC33" s="341">
        <f>IF(OR('H(R+S+L)'!BE33="N.P.",'H(R+S+L)'!BE33="",Moore!BC33=""),"",'H(R+S+L)'!BE33-Moore!BC33)</f>
      </c>
      <c r="BD33" s="341">
        <f>IF(OR('H(R+S+L)'!BF33="N.P.",'H(R+S+L)'!BF33="",Moore!BD33=""),"",'H(R+S+L)'!BF33-Moore!BD33)</f>
      </c>
      <c r="BE33" s="341">
        <f>IF(OR('H(R+S+L)'!BG33="N.P.",'H(R+S+L)'!BG33="",Moore!BE33=""),"",'H(R+S+L)'!BG33-Moore!BE33)</f>
      </c>
      <c r="BF33" s="341">
        <f>IF(OR('H(R+S+L)'!BH33="N.P.",'H(R+S+L)'!BH33="",Moore!BF33=""),"",'H(R+S+L)'!BH33-Moore!BF33)</f>
      </c>
      <c r="BG33" s="341">
        <f>IF(OR('H(R+S+L)'!BI33="N.P.",'H(R+S+L)'!BI33="",Moore!BG33=""),"",'H(R+S+L)'!BI33-Moore!BG33)</f>
      </c>
      <c r="BH33" s="342">
        <f>IF(OR('H(R+S+L)'!BJ33="N.P.",'H(R+S+L)'!BJ33="",Moore!BH33=""),"",'H(R+S+L)'!BJ33-Moore!BH33)</f>
      </c>
    </row>
    <row r="34" spans="7:60" ht="12.75">
      <c r="G34" s="788"/>
      <c r="H34" s="337">
        <f>'H(R+S+L)'!J34*1-Moore!H34</f>
        <v>-0.0005553689406951889</v>
      </c>
      <c r="I34" s="297">
        <v>5</v>
      </c>
      <c r="J34" s="298">
        <v>2.5</v>
      </c>
      <c r="K34" s="296" t="s">
        <v>10</v>
      </c>
      <c r="L34" s="695">
        <f>IF(OR('H(R+S+L)'!N34="N.P.",'H(R+S+L)'!N34="",Moore!L34=""),"",'H(R+S+L)'!N34-Moore!L34)</f>
      </c>
      <c r="M34" s="347">
        <f>IF(OR('H(R+S+L)'!O34="N.P.",'H(R+S+L)'!O34="",Moore!M34=""),"",'H(R+S+L)'!O34-Moore!M34)</f>
      </c>
      <c r="N34" s="341">
        <f>IF(OR('H(R+S+L)'!P34="N.P.",'H(R+S+L)'!P34="",Moore!N34=""),"",'H(R+S+L)'!P34-Moore!N34)</f>
        <v>-0.0001367348495477927</v>
      </c>
      <c r="O34" s="342">
        <f>IF(OR('H(R+S+L)'!Q34="N.P.",'H(R+S+L)'!Q34="",Moore!O34=""),"",'H(R+S+L)'!Q34-Moore!O34)</f>
      </c>
      <c r="P34" s="347">
        <f>IF(OR('H(R+S+L)'!R34="N.P.",'H(R+S+L)'!R34="",Moore!P34=""),"",'H(R+S+L)'!R34-Moore!P34)</f>
      </c>
      <c r="Q34" s="341">
        <f>IF(OR('H(R+S+L)'!S34="N.P.",'H(R+S+L)'!S34="",Moore!Q34=""),"",'H(R+S+L)'!S34-Moore!Q34)</f>
      </c>
      <c r="R34" s="341">
        <f>IF(OR('H(R+S+L)'!T34="N.P.",'H(R+S+L)'!T34="",Moore!R34=""),"",'H(R+S+L)'!T34-Moore!R34)</f>
      </c>
      <c r="S34" s="341">
        <f>IF(OR('H(R+S+L)'!U34="N.P.",'H(R+S+L)'!U34="",Moore!S34=""),"",'H(R+S+L)'!U34-Moore!S34)</f>
      </c>
      <c r="T34" s="342">
        <f>IF(OR('H(R+S+L)'!V34="N.P.",'H(R+S+L)'!V34="",Moore!T34=""),"",'H(R+S+L)'!V34-Moore!T34)</f>
      </c>
      <c r="U34" s="347">
        <f>IF(OR('H(R+S+L)'!W34="N.P.",'H(R+S+L)'!W34="",Moore!U34=""),"",'H(R+S+L)'!W34-Moore!U34)</f>
      </c>
      <c r="V34" s="341">
        <f>IF(OR('H(R+S+L)'!X34="N.P.",'H(R+S+L)'!X34="",Moore!V34=""),"",'H(R+S+L)'!X34-Moore!V34)</f>
      </c>
      <c r="W34" s="341">
        <f>IF(OR('H(R+S+L)'!Y34="N.P.",'H(R+S+L)'!Y34="",Moore!W34=""),"",'H(R+S+L)'!Y34-Moore!W34)</f>
      </c>
      <c r="X34" s="341">
        <f>IF(OR('H(R+S+L)'!Z34="N.P.",'H(R+S+L)'!Z34="",Moore!X34=""),"",'H(R+S+L)'!Z34-Moore!X34)</f>
      </c>
      <c r="Y34" s="341">
        <f>IF(OR('H(R+S+L)'!AA34="N.P.",'H(R+S+L)'!AA34="",Moore!Y34=""),"",'H(R+S+L)'!AA34-Moore!Y34)</f>
      </c>
      <c r="Z34" s="341">
        <f>IF(OR('H(R+S+L)'!AB34="N.P.",'H(R+S+L)'!AB34="",Moore!Z34=""),"",'H(R+S+L)'!AB34-Moore!Z34)</f>
      </c>
      <c r="AA34" s="342">
        <f>IF(OR('H(R+S+L)'!AC34="N.P.",'H(R+S+L)'!AC34="",Moore!AA34=""),"",'H(R+S+L)'!AC34-Moore!AA34)</f>
      </c>
      <c r="AB34" s="347">
        <f>IF(OR('H(R+S+L)'!AD34="N.P.",'H(R+S+L)'!AD34="",Moore!AB34=""),"",'H(R+S+L)'!AD34-Moore!AB34)</f>
      </c>
      <c r="AC34" s="341">
        <f>IF(OR('H(R+S+L)'!AE34="N.P.",'H(R+S+L)'!AE34="",Moore!AC34=""),"",'H(R+S+L)'!AE34-Moore!AC34)</f>
      </c>
      <c r="AD34" s="341">
        <f>IF(OR('H(R+S+L)'!AF34="N.P.",'H(R+S+L)'!AF34="",Moore!AD34=""),"",'H(R+S+L)'!AF34-Moore!AD34)</f>
      </c>
      <c r="AE34" s="341">
        <f>IF(OR('H(R+S+L)'!AG34="N.P.",'H(R+S+L)'!AG34="",Moore!AE34=""),"",'H(R+S+L)'!AG34-Moore!AE34)</f>
      </c>
      <c r="AF34" s="341">
        <f>IF(OR('H(R+S+L)'!AH34="N.P.",'H(R+S+L)'!AH34="",Moore!AF34=""),"",'H(R+S+L)'!AH34-Moore!AF34)</f>
      </c>
      <c r="AG34" s="341">
        <f>IF(OR('H(R+S+L)'!AI34="N.P.",'H(R+S+L)'!AI34="",Moore!AG34=""),"",'H(R+S+L)'!AI34-Moore!AG34)</f>
      </c>
      <c r="AH34" s="341">
        <f>IF(OR('H(R+S+L)'!AJ34="N.P.",'H(R+S+L)'!AJ34="",Moore!AH34=""),"",'H(R+S+L)'!AJ34-Moore!AH34)</f>
      </c>
      <c r="AI34" s="341">
        <f>IF(OR('H(R+S+L)'!AK34="N.P.",'H(R+S+L)'!AK34="",Moore!AI34=""),"",'H(R+S+L)'!AK34-Moore!AI34)</f>
      </c>
      <c r="AJ34" s="342">
        <f>IF(OR('H(R+S+L)'!AL34="N.P.",'H(R+S+L)'!AL34="",Moore!AJ34=""),"",'H(R+S+L)'!AL34-Moore!AJ34)</f>
      </c>
      <c r="AK34" s="347">
        <f>IF(OR('H(R+S+L)'!AM34="N.P.",'H(R+S+L)'!AM34="",Moore!AK34=""),"",'H(R+S+L)'!AM34-Moore!AK34)</f>
      </c>
      <c r="AL34" s="341">
        <f>IF(OR('H(R+S+L)'!AN34="N.P.",'H(R+S+L)'!AN34="",Moore!AL34=""),"",'H(R+S+L)'!AN34-Moore!AL34)</f>
      </c>
      <c r="AM34" s="341">
        <f>IF(OR('H(R+S+L)'!AO34="N.P.",'H(R+S+L)'!AO34="",Moore!AM34=""),"",'H(R+S+L)'!AO34-Moore!AM34)</f>
      </c>
      <c r="AN34" s="341">
        <f>IF(OR('H(R+S+L)'!AP34="N.P.",'H(R+S+L)'!AP34="",Moore!AN34=""),"",'H(R+S+L)'!AP34-Moore!AN34)</f>
      </c>
      <c r="AO34" s="341">
        <f>IF(OR('H(R+S+L)'!AQ34="N.P.",'H(R+S+L)'!AQ34="",Moore!AO34=""),"",'H(R+S+L)'!AQ34-Moore!AO34)</f>
      </c>
      <c r="AP34" s="341">
        <f>IF(OR('H(R+S+L)'!AR34="N.P.",'H(R+S+L)'!AR34="",Moore!AP34=""),"",'H(R+S+L)'!AR34-Moore!AP34)</f>
      </c>
      <c r="AQ34" s="341">
        <f>IF(OR('H(R+S+L)'!AS34="N.P.",'H(R+S+L)'!AS34="",Moore!AQ34=""),"",'H(R+S+L)'!AS34-Moore!AQ34)</f>
      </c>
      <c r="AR34" s="341">
        <f>IF(OR('H(R+S+L)'!AT34="N.P.",'H(R+S+L)'!AT34="",Moore!AR34=""),"",'H(R+S+L)'!AT34-Moore!AR34)</f>
      </c>
      <c r="AS34" s="341">
        <f>IF(OR('H(R+S+L)'!AU34="N.P.",'H(R+S+L)'!AU34="",Moore!AS34=""),"",'H(R+S+L)'!AU34-Moore!AS34)</f>
      </c>
      <c r="AT34" s="341">
        <f>IF(OR('H(R+S+L)'!AV34="N.P.",'H(R+S+L)'!AV34="",Moore!AT34=""),"",'H(R+S+L)'!AV34-Moore!AT34)</f>
      </c>
      <c r="AU34" s="342">
        <f>IF(OR('H(R+S+L)'!AW34="N.P.",'H(R+S+L)'!AW34="",Moore!AU34=""),"",'H(R+S+L)'!AW34-Moore!AU34)</f>
      </c>
      <c r="AV34" s="347">
        <f>IF(OR('H(R+S+L)'!AX34="N.P.",'H(R+S+L)'!AX34="",Moore!AV34=""),"",'H(R+S+L)'!AX34-Moore!AV34)</f>
      </c>
      <c r="AW34" s="341">
        <f>IF(OR('H(R+S+L)'!AY34="N.P.",'H(R+S+L)'!AY34="",Moore!AW34=""),"",'H(R+S+L)'!AY34-Moore!AW34)</f>
      </c>
      <c r="AX34" s="341">
        <f>IF(OR('H(R+S+L)'!AZ34="N.P.",'H(R+S+L)'!AZ34="",Moore!AX34=""),"",'H(R+S+L)'!AZ34-Moore!AX34)</f>
      </c>
      <c r="AY34" s="341">
        <f>IF(OR('H(R+S+L)'!BA34="N.P.",'H(R+S+L)'!BA34="",Moore!AY34=""),"",'H(R+S+L)'!BA34-Moore!AY34)</f>
      </c>
      <c r="AZ34" s="341">
        <f>IF(OR('H(R+S+L)'!BB34="N.P.",'H(R+S+L)'!BB34="",Moore!AZ34=""),"",'H(R+S+L)'!BB34-Moore!AZ34)</f>
      </c>
      <c r="BA34" s="341">
        <f>IF(OR('H(R+S+L)'!BC34="N.P.",'H(R+S+L)'!BC34="",Moore!BA34=""),"",'H(R+S+L)'!BC34-Moore!BA34)</f>
      </c>
      <c r="BB34" s="341">
        <f>IF(OR('H(R+S+L)'!BD34="N.P.",'H(R+S+L)'!BD34="",Moore!BB34=""),"",'H(R+S+L)'!BD34-Moore!BB34)</f>
      </c>
      <c r="BC34" s="341">
        <f>IF(OR('H(R+S+L)'!BE34="N.P.",'H(R+S+L)'!BE34="",Moore!BC34=""),"",'H(R+S+L)'!BE34-Moore!BC34)</f>
      </c>
      <c r="BD34" s="341">
        <f>IF(OR('H(R+S+L)'!BF34="N.P.",'H(R+S+L)'!BF34="",Moore!BD34=""),"",'H(R+S+L)'!BF34-Moore!BD34)</f>
      </c>
      <c r="BE34" s="341">
        <f>IF(OR('H(R+S+L)'!BG34="N.P.",'H(R+S+L)'!BG34="",Moore!BE34=""),"",'H(R+S+L)'!BG34-Moore!BE34)</f>
      </c>
      <c r="BF34" s="341">
        <f>IF(OR('H(R+S+L)'!BH34="N.P.",'H(R+S+L)'!BH34="",Moore!BF34=""),"",'H(R+S+L)'!BH34-Moore!BF34)</f>
      </c>
      <c r="BG34" s="341">
        <f>IF(OR('H(R+S+L)'!BI34="N.P.",'H(R+S+L)'!BI34="",Moore!BG34=""),"",'H(R+S+L)'!BI34-Moore!BG34)</f>
      </c>
      <c r="BH34" s="342">
        <f>IF(OR('H(R+S+L)'!BJ34="N.P.",'H(R+S+L)'!BJ34="",Moore!BH34=""),"",'H(R+S+L)'!BJ34-Moore!BH34)</f>
      </c>
    </row>
    <row r="35" spans="7:60" ht="12.75">
      <c r="G35" s="788"/>
      <c r="H35" s="337">
        <f>'H(R+S+L)'!J35*1-Moore!H35</f>
        <v>-0.000677755189826712</v>
      </c>
      <c r="I35" s="297">
        <v>5</v>
      </c>
      <c r="J35" s="298">
        <v>2.5</v>
      </c>
      <c r="K35" s="296" t="s">
        <v>11</v>
      </c>
      <c r="L35" s="695">
        <f>IF(OR('H(R+S+L)'!N35="N.P.",'H(R+S+L)'!N35="",Moore!L35=""),"",'H(R+S+L)'!N35-Moore!L35)</f>
      </c>
      <c r="M35" s="347">
        <f>IF(OR('H(R+S+L)'!O35="N.P.",'H(R+S+L)'!O35="",Moore!M35=""),"",'H(R+S+L)'!O35-Moore!M35)</f>
      </c>
      <c r="N35" s="341">
        <f>IF(OR('H(R+S+L)'!P35="N.P.",'H(R+S+L)'!P35="",Moore!N35=""),"",'H(R+S+L)'!P35-Moore!N35)</f>
      </c>
      <c r="O35" s="342">
        <f>IF(OR('H(R+S+L)'!Q35="N.P.",'H(R+S+L)'!Q35="",Moore!O35=""),"",'H(R+S+L)'!Q35-Moore!O35)</f>
        <v>-1.4814532732998487E-05</v>
      </c>
      <c r="P35" s="347">
        <f>IF(OR('H(R+S+L)'!R35="N.P.",'H(R+S+L)'!R35="",Moore!P35=""),"",'H(R+S+L)'!R35-Moore!P35)</f>
      </c>
      <c r="Q35" s="341">
        <f>IF(OR('H(R+S+L)'!S35="N.P.",'H(R+S+L)'!S35="",Moore!Q35=""),"",'H(R+S+L)'!S35-Moore!Q35)</f>
      </c>
      <c r="R35" s="341">
        <f>IF(OR('H(R+S+L)'!T35="N.P.",'H(R+S+L)'!T35="",Moore!R35=""),"",'H(R+S+L)'!T35-Moore!R35)</f>
      </c>
      <c r="S35" s="341">
        <f>IF(OR('H(R+S+L)'!U35="N.P.",'H(R+S+L)'!U35="",Moore!S35=""),"",'H(R+S+L)'!U35-Moore!S35)</f>
      </c>
      <c r="T35" s="342">
        <f>IF(OR('H(R+S+L)'!V35="N.P.",'H(R+S+L)'!V35="",Moore!T35=""),"",'H(R+S+L)'!V35-Moore!T35)</f>
      </c>
      <c r="U35" s="347">
        <f>IF(OR('H(R+S+L)'!W35="N.P.",'H(R+S+L)'!W35="",Moore!U35=""),"",'H(R+S+L)'!W35-Moore!U35)</f>
      </c>
      <c r="V35" s="341">
        <f>IF(OR('H(R+S+L)'!X35="N.P.",'H(R+S+L)'!X35="",Moore!V35=""),"",'H(R+S+L)'!X35-Moore!V35)</f>
      </c>
      <c r="W35" s="341">
        <f>IF(OR('H(R+S+L)'!Y35="N.P.",'H(R+S+L)'!Y35="",Moore!W35=""),"",'H(R+S+L)'!Y35-Moore!W35)</f>
      </c>
      <c r="X35" s="341">
        <f>IF(OR('H(R+S+L)'!Z35="N.P.",'H(R+S+L)'!Z35="",Moore!X35=""),"",'H(R+S+L)'!Z35-Moore!X35)</f>
      </c>
      <c r="Y35" s="341">
        <f>IF(OR('H(R+S+L)'!AA35="N.P.",'H(R+S+L)'!AA35="",Moore!Y35=""),"",'H(R+S+L)'!AA35-Moore!Y35)</f>
      </c>
      <c r="Z35" s="341">
        <f>IF(OR('H(R+S+L)'!AB35="N.P.",'H(R+S+L)'!AB35="",Moore!Z35=""),"",'H(R+S+L)'!AB35-Moore!Z35)</f>
      </c>
      <c r="AA35" s="342">
        <f>IF(OR('H(R+S+L)'!AC35="N.P.",'H(R+S+L)'!AC35="",Moore!AA35=""),"",'H(R+S+L)'!AC35-Moore!AA35)</f>
      </c>
      <c r="AB35" s="347">
        <f>IF(OR('H(R+S+L)'!AD35="N.P.",'H(R+S+L)'!AD35="",Moore!AB35=""),"",'H(R+S+L)'!AD35-Moore!AB35)</f>
      </c>
      <c r="AC35" s="341">
        <f>IF(OR('H(R+S+L)'!AE35="N.P.",'H(R+S+L)'!AE35="",Moore!AC35=""),"",'H(R+S+L)'!AE35-Moore!AC35)</f>
      </c>
      <c r="AD35" s="341">
        <f>IF(OR('H(R+S+L)'!AF35="N.P.",'H(R+S+L)'!AF35="",Moore!AD35=""),"",'H(R+S+L)'!AF35-Moore!AD35)</f>
      </c>
      <c r="AE35" s="341">
        <f>IF(OR('H(R+S+L)'!AG35="N.P.",'H(R+S+L)'!AG35="",Moore!AE35=""),"",'H(R+S+L)'!AG35-Moore!AE35)</f>
      </c>
      <c r="AF35" s="341">
        <f>IF(OR('H(R+S+L)'!AH35="N.P.",'H(R+S+L)'!AH35="",Moore!AF35=""),"",'H(R+S+L)'!AH35-Moore!AF35)</f>
      </c>
      <c r="AG35" s="341">
        <f>IF(OR('H(R+S+L)'!AI35="N.P.",'H(R+S+L)'!AI35="",Moore!AG35=""),"",'H(R+S+L)'!AI35-Moore!AG35)</f>
      </c>
      <c r="AH35" s="341">
        <f>IF(OR('H(R+S+L)'!AJ35="N.P.",'H(R+S+L)'!AJ35="",Moore!AH35=""),"",'H(R+S+L)'!AJ35-Moore!AH35)</f>
      </c>
      <c r="AI35" s="341">
        <f>IF(OR('H(R+S+L)'!AK35="N.P.",'H(R+S+L)'!AK35="",Moore!AI35=""),"",'H(R+S+L)'!AK35-Moore!AI35)</f>
      </c>
      <c r="AJ35" s="342">
        <f>IF(OR('H(R+S+L)'!AL35="N.P.",'H(R+S+L)'!AL35="",Moore!AJ35=""),"",'H(R+S+L)'!AL35-Moore!AJ35)</f>
      </c>
      <c r="AK35" s="347">
        <f>IF(OR('H(R+S+L)'!AM35="N.P.",'H(R+S+L)'!AM35="",Moore!AK35=""),"",'H(R+S+L)'!AM35-Moore!AK35)</f>
      </c>
      <c r="AL35" s="341">
        <f>IF(OR('H(R+S+L)'!AN35="N.P.",'H(R+S+L)'!AN35="",Moore!AL35=""),"",'H(R+S+L)'!AN35-Moore!AL35)</f>
      </c>
      <c r="AM35" s="341">
        <f>IF(OR('H(R+S+L)'!AO35="N.P.",'H(R+S+L)'!AO35="",Moore!AM35=""),"",'H(R+S+L)'!AO35-Moore!AM35)</f>
      </c>
      <c r="AN35" s="341">
        <f>IF(OR('H(R+S+L)'!AP35="N.P.",'H(R+S+L)'!AP35="",Moore!AN35=""),"",'H(R+S+L)'!AP35-Moore!AN35)</f>
      </c>
      <c r="AO35" s="341">
        <f>IF(OR('H(R+S+L)'!AQ35="N.P.",'H(R+S+L)'!AQ35="",Moore!AO35=""),"",'H(R+S+L)'!AQ35-Moore!AO35)</f>
      </c>
      <c r="AP35" s="341">
        <f>IF(OR('H(R+S+L)'!AR35="N.P.",'H(R+S+L)'!AR35="",Moore!AP35=""),"",'H(R+S+L)'!AR35-Moore!AP35)</f>
      </c>
      <c r="AQ35" s="341">
        <f>IF(OR('H(R+S+L)'!AS35="N.P.",'H(R+S+L)'!AS35="",Moore!AQ35=""),"",'H(R+S+L)'!AS35-Moore!AQ35)</f>
      </c>
      <c r="AR35" s="341">
        <f>IF(OR('H(R+S+L)'!AT35="N.P.",'H(R+S+L)'!AT35="",Moore!AR35=""),"",'H(R+S+L)'!AT35-Moore!AR35)</f>
      </c>
      <c r="AS35" s="341">
        <f>IF(OR('H(R+S+L)'!AU35="N.P.",'H(R+S+L)'!AU35="",Moore!AS35=""),"",'H(R+S+L)'!AU35-Moore!AS35)</f>
      </c>
      <c r="AT35" s="341">
        <f>IF(OR('H(R+S+L)'!AV35="N.P.",'H(R+S+L)'!AV35="",Moore!AT35=""),"",'H(R+S+L)'!AV35-Moore!AT35)</f>
      </c>
      <c r="AU35" s="342">
        <f>IF(OR('H(R+S+L)'!AW35="N.P.",'H(R+S+L)'!AW35="",Moore!AU35=""),"",'H(R+S+L)'!AW35-Moore!AU35)</f>
      </c>
      <c r="AV35" s="347">
        <f>IF(OR('H(R+S+L)'!AX35="N.P.",'H(R+S+L)'!AX35="",Moore!AV35=""),"",'H(R+S+L)'!AX35-Moore!AV35)</f>
      </c>
      <c r="AW35" s="341">
        <f>IF(OR('H(R+S+L)'!AY35="N.P.",'H(R+S+L)'!AY35="",Moore!AW35=""),"",'H(R+S+L)'!AY35-Moore!AW35)</f>
      </c>
      <c r="AX35" s="341">
        <f>IF(OR('H(R+S+L)'!AZ35="N.P.",'H(R+S+L)'!AZ35="",Moore!AX35=""),"",'H(R+S+L)'!AZ35-Moore!AX35)</f>
      </c>
      <c r="AY35" s="341">
        <f>IF(OR('H(R+S+L)'!BA35="N.P.",'H(R+S+L)'!BA35="",Moore!AY35=""),"",'H(R+S+L)'!BA35-Moore!AY35)</f>
      </c>
      <c r="AZ35" s="341">
        <f>IF(OR('H(R+S+L)'!BB35="N.P.",'H(R+S+L)'!BB35="",Moore!AZ35=""),"",'H(R+S+L)'!BB35-Moore!AZ35)</f>
      </c>
      <c r="BA35" s="341">
        <f>IF(OR('H(R+S+L)'!BC35="N.P.",'H(R+S+L)'!BC35="",Moore!BA35=""),"",'H(R+S+L)'!BC35-Moore!BA35)</f>
      </c>
      <c r="BB35" s="341">
        <f>IF(OR('H(R+S+L)'!BD35="N.P.",'H(R+S+L)'!BD35="",Moore!BB35=""),"",'H(R+S+L)'!BD35-Moore!BB35)</f>
      </c>
      <c r="BC35" s="341">
        <f>IF(OR('H(R+S+L)'!BE35="N.P.",'H(R+S+L)'!BE35="",Moore!BC35=""),"",'H(R+S+L)'!BE35-Moore!BC35)</f>
      </c>
      <c r="BD35" s="341">
        <f>IF(OR('H(R+S+L)'!BF35="N.P.",'H(R+S+L)'!BF35="",Moore!BD35=""),"",'H(R+S+L)'!BF35-Moore!BD35)</f>
      </c>
      <c r="BE35" s="341">
        <f>IF(OR('H(R+S+L)'!BG35="N.P.",'H(R+S+L)'!BG35="",Moore!BE35=""),"",'H(R+S+L)'!BG35-Moore!BE35)</f>
      </c>
      <c r="BF35" s="341">
        <f>IF(OR('H(R+S+L)'!BH35="N.P.",'H(R+S+L)'!BH35="",Moore!BF35=""),"",'H(R+S+L)'!BH35-Moore!BF35)</f>
      </c>
      <c r="BG35" s="341">
        <f>IF(OR('H(R+S+L)'!BI35="N.P.",'H(R+S+L)'!BI35="",Moore!BG35=""),"",'H(R+S+L)'!BI35-Moore!BG35)</f>
      </c>
      <c r="BH35" s="342">
        <f>IF(OR('H(R+S+L)'!BJ35="N.P.",'H(R+S+L)'!BJ35="",Moore!BH35=""),"",'H(R+S+L)'!BJ35-Moore!BH35)</f>
      </c>
    </row>
    <row r="36" spans="7:60" ht="12.75">
      <c r="G36" s="788"/>
      <c r="H36" s="337">
        <f>'H(R+S+L)'!J36*1-Moore!H36</f>
        <v>-0.0001351262762909755</v>
      </c>
      <c r="I36" s="297">
        <v>5</v>
      </c>
      <c r="J36" s="298">
        <v>3.5</v>
      </c>
      <c r="K36" s="296" t="s">
        <v>12</v>
      </c>
      <c r="L36" s="695">
        <f>IF(OR('H(R+S+L)'!N36="N.P.",'H(R+S+L)'!N36="",Moore!L36=""),"",'H(R+S+L)'!N36-Moore!L36)</f>
      </c>
      <c r="M36" s="347">
        <f>IF(OR('H(R+S+L)'!O36="N.P.",'H(R+S+L)'!O36="",Moore!M36=""),"",'H(R+S+L)'!O36-Moore!M36)</f>
      </c>
      <c r="N36" s="341">
        <f>IF(OR('H(R+S+L)'!P36="N.P.",'H(R+S+L)'!P36="",Moore!N36=""),"",'H(R+S+L)'!P36-Moore!N36)</f>
      </c>
      <c r="O36" s="342">
        <f>IF(OR('H(R+S+L)'!Q36="N.P.",'H(R+S+L)'!Q36="",Moore!O36=""),"",'H(R+S+L)'!Q36-Moore!O36)</f>
      </c>
      <c r="P36" s="347">
        <f>IF(OR('H(R+S+L)'!R36="N.P.",'H(R+S+L)'!R36="",Moore!P36=""),"",'H(R+S+L)'!R36-Moore!P36)</f>
      </c>
      <c r="Q36" s="341">
        <f>IF(OR('H(R+S+L)'!S36="N.P.",'H(R+S+L)'!S36="",Moore!Q36=""),"",'H(R+S+L)'!S36-Moore!Q36)</f>
      </c>
      <c r="R36" s="341">
        <f>IF(OR('H(R+S+L)'!T36="N.P.",'H(R+S+L)'!T36="",Moore!R36=""),"",'H(R+S+L)'!T36-Moore!R36)</f>
      </c>
      <c r="S36" s="341">
        <f>IF(OR('H(R+S+L)'!U36="N.P.",'H(R+S+L)'!U36="",Moore!S36=""),"",'H(R+S+L)'!U36-Moore!S36)</f>
        <v>0.06206935999034613</v>
      </c>
      <c r="T36" s="342">
        <f>IF(OR('H(R+S+L)'!V36="N.P.",'H(R+S+L)'!V36="",Moore!T36=""),"",'H(R+S+L)'!V36-Moore!T36)</f>
      </c>
      <c r="U36" s="347">
        <f>IF(OR('H(R+S+L)'!W36="N.P.",'H(R+S+L)'!W36="",Moore!U36=""),"",'H(R+S+L)'!W36-Moore!U36)</f>
      </c>
      <c r="V36" s="341">
        <f>IF(OR('H(R+S+L)'!X36="N.P.",'H(R+S+L)'!X36="",Moore!V36=""),"",'H(R+S+L)'!X36-Moore!V36)</f>
      </c>
      <c r="W36" s="341">
        <f>IF(OR('H(R+S+L)'!Y36="N.P.",'H(R+S+L)'!Y36="",Moore!W36=""),"",'H(R+S+L)'!Y36-Moore!W36)</f>
      </c>
      <c r="X36" s="341">
        <f>IF(OR('H(R+S+L)'!Z36="N.P.",'H(R+S+L)'!Z36="",Moore!X36=""),"",'H(R+S+L)'!Z36-Moore!X36)</f>
      </c>
      <c r="Y36" s="341">
        <f>IF(OR('H(R+S+L)'!AA36="N.P.",'H(R+S+L)'!AA36="",Moore!Y36=""),"",'H(R+S+L)'!AA36-Moore!Y36)</f>
      </c>
      <c r="Z36" s="341">
        <f>IF(OR('H(R+S+L)'!AB36="N.P.",'H(R+S+L)'!AB36="",Moore!Z36=""),"",'H(R+S+L)'!AB36-Moore!Z36)</f>
      </c>
      <c r="AA36" s="342">
        <f>IF(OR('H(R+S+L)'!AC36="N.P.",'H(R+S+L)'!AC36="",Moore!AA36=""),"",'H(R+S+L)'!AC36-Moore!AA36)</f>
      </c>
      <c r="AB36" s="347">
        <f>IF(OR('H(R+S+L)'!AD36="N.P.",'H(R+S+L)'!AD36="",Moore!AB36=""),"",'H(R+S+L)'!AD36-Moore!AB36)</f>
      </c>
      <c r="AC36" s="341">
        <f>IF(OR('H(R+S+L)'!AE36="N.P.",'H(R+S+L)'!AE36="",Moore!AC36=""),"",'H(R+S+L)'!AE36-Moore!AC36)</f>
      </c>
      <c r="AD36" s="341">
        <f>IF(OR('H(R+S+L)'!AF36="N.P.",'H(R+S+L)'!AF36="",Moore!AD36=""),"",'H(R+S+L)'!AF36-Moore!AD36)</f>
      </c>
      <c r="AE36" s="341">
        <f>IF(OR('H(R+S+L)'!AG36="N.P.",'H(R+S+L)'!AG36="",Moore!AE36=""),"",'H(R+S+L)'!AG36-Moore!AE36)</f>
      </c>
      <c r="AF36" s="341">
        <f>IF(OR('H(R+S+L)'!AH36="N.P.",'H(R+S+L)'!AH36="",Moore!AF36=""),"",'H(R+S+L)'!AH36-Moore!AF36)</f>
      </c>
      <c r="AG36" s="341">
        <f>IF(OR('H(R+S+L)'!AI36="N.P.",'H(R+S+L)'!AI36="",Moore!AG36=""),"",'H(R+S+L)'!AI36-Moore!AG36)</f>
      </c>
      <c r="AH36" s="341">
        <f>IF(OR('H(R+S+L)'!AJ36="N.P.",'H(R+S+L)'!AJ36="",Moore!AH36=""),"",'H(R+S+L)'!AJ36-Moore!AH36)</f>
      </c>
      <c r="AI36" s="341">
        <f>IF(OR('H(R+S+L)'!AK36="N.P.",'H(R+S+L)'!AK36="",Moore!AI36=""),"",'H(R+S+L)'!AK36-Moore!AI36)</f>
      </c>
      <c r="AJ36" s="342">
        <f>IF(OR('H(R+S+L)'!AL36="N.P.",'H(R+S+L)'!AL36="",Moore!AJ36=""),"",'H(R+S+L)'!AL36-Moore!AJ36)</f>
      </c>
      <c r="AK36" s="347">
        <f>IF(OR('H(R+S+L)'!AM36="N.P.",'H(R+S+L)'!AM36="",Moore!AK36=""),"",'H(R+S+L)'!AM36-Moore!AK36)</f>
      </c>
      <c r="AL36" s="341">
        <f>IF(OR('H(R+S+L)'!AN36="N.P.",'H(R+S+L)'!AN36="",Moore!AL36=""),"",'H(R+S+L)'!AN36-Moore!AL36)</f>
      </c>
      <c r="AM36" s="341">
        <f>IF(OR('H(R+S+L)'!AO36="N.P.",'H(R+S+L)'!AO36="",Moore!AM36=""),"",'H(R+S+L)'!AO36-Moore!AM36)</f>
      </c>
      <c r="AN36" s="341">
        <f>IF(OR('H(R+S+L)'!AP36="N.P.",'H(R+S+L)'!AP36="",Moore!AN36=""),"",'H(R+S+L)'!AP36-Moore!AN36)</f>
      </c>
      <c r="AO36" s="341">
        <f>IF(OR('H(R+S+L)'!AQ36="N.P.",'H(R+S+L)'!AQ36="",Moore!AO36=""),"",'H(R+S+L)'!AQ36-Moore!AO36)</f>
      </c>
      <c r="AP36" s="341">
        <f>IF(OR('H(R+S+L)'!AR36="N.P.",'H(R+S+L)'!AR36="",Moore!AP36=""),"",'H(R+S+L)'!AR36-Moore!AP36)</f>
      </c>
      <c r="AQ36" s="341">
        <f>IF(OR('H(R+S+L)'!AS36="N.P.",'H(R+S+L)'!AS36="",Moore!AQ36=""),"",'H(R+S+L)'!AS36-Moore!AQ36)</f>
      </c>
      <c r="AR36" s="341">
        <f>IF(OR('H(R+S+L)'!AT36="N.P.",'H(R+S+L)'!AT36="",Moore!AR36=""),"",'H(R+S+L)'!AT36-Moore!AR36)</f>
      </c>
      <c r="AS36" s="341">
        <f>IF(OR('H(R+S+L)'!AU36="N.P.",'H(R+S+L)'!AU36="",Moore!AS36=""),"",'H(R+S+L)'!AU36-Moore!AS36)</f>
      </c>
      <c r="AT36" s="341">
        <f>IF(OR('H(R+S+L)'!AV36="N.P.",'H(R+S+L)'!AV36="",Moore!AT36=""),"",'H(R+S+L)'!AV36-Moore!AT36)</f>
      </c>
      <c r="AU36" s="342">
        <f>IF(OR('H(R+S+L)'!AW36="N.P.",'H(R+S+L)'!AW36="",Moore!AU36=""),"",'H(R+S+L)'!AW36-Moore!AU36)</f>
      </c>
      <c r="AV36" s="347">
        <f>IF(OR('H(R+S+L)'!AX36="N.P.",'H(R+S+L)'!AX36="",Moore!AV36=""),"",'H(R+S+L)'!AX36-Moore!AV36)</f>
      </c>
      <c r="AW36" s="341">
        <f>IF(OR('H(R+S+L)'!AY36="N.P.",'H(R+S+L)'!AY36="",Moore!AW36=""),"",'H(R+S+L)'!AY36-Moore!AW36)</f>
      </c>
      <c r="AX36" s="341">
        <f>IF(OR('H(R+S+L)'!AZ36="N.P.",'H(R+S+L)'!AZ36="",Moore!AX36=""),"",'H(R+S+L)'!AZ36-Moore!AX36)</f>
      </c>
      <c r="AY36" s="341">
        <f>IF(OR('H(R+S+L)'!BA36="N.P.",'H(R+S+L)'!BA36="",Moore!AY36=""),"",'H(R+S+L)'!BA36-Moore!AY36)</f>
      </c>
      <c r="AZ36" s="341">
        <f>IF(OR('H(R+S+L)'!BB36="N.P.",'H(R+S+L)'!BB36="",Moore!AZ36=""),"",'H(R+S+L)'!BB36-Moore!AZ36)</f>
      </c>
      <c r="BA36" s="341">
        <f>IF(OR('H(R+S+L)'!BC36="N.P.",'H(R+S+L)'!BC36="",Moore!BA36=""),"",'H(R+S+L)'!BC36-Moore!BA36)</f>
      </c>
      <c r="BB36" s="341">
        <f>IF(OR('H(R+S+L)'!BD36="N.P.",'H(R+S+L)'!BD36="",Moore!BB36=""),"",'H(R+S+L)'!BD36-Moore!BB36)</f>
      </c>
      <c r="BC36" s="341">
        <f>IF(OR('H(R+S+L)'!BE36="N.P.",'H(R+S+L)'!BE36="",Moore!BC36=""),"",'H(R+S+L)'!BE36-Moore!BC36)</f>
      </c>
      <c r="BD36" s="341">
        <f>IF(OR('H(R+S+L)'!BF36="N.P.",'H(R+S+L)'!BF36="",Moore!BD36=""),"",'H(R+S+L)'!BF36-Moore!BD36)</f>
      </c>
      <c r="BE36" s="341">
        <f>IF(OR('H(R+S+L)'!BG36="N.P.",'H(R+S+L)'!BG36="",Moore!BE36=""),"",'H(R+S+L)'!BG36-Moore!BE36)</f>
      </c>
      <c r="BF36" s="341">
        <f>IF(OR('H(R+S+L)'!BH36="N.P.",'H(R+S+L)'!BH36="",Moore!BF36=""),"",'H(R+S+L)'!BH36-Moore!BF36)</f>
      </c>
      <c r="BG36" s="341">
        <f>IF(OR('H(R+S+L)'!BI36="N.P.",'H(R+S+L)'!BI36="",Moore!BG36=""),"",'H(R+S+L)'!BI36-Moore!BG36)</f>
      </c>
      <c r="BH36" s="342">
        <f>IF(OR('H(R+S+L)'!BJ36="N.P.",'H(R+S+L)'!BJ36="",Moore!BH36=""),"",'H(R+S+L)'!BJ36-Moore!BH36)</f>
      </c>
    </row>
    <row r="37" spans="7:60" ht="12.75">
      <c r="G37" s="788"/>
      <c r="H37" s="337">
        <f>'H(R+S+L)'!J37*1-Moore!H37</f>
        <v>-0.000289991163299419</v>
      </c>
      <c r="I37" s="297">
        <v>5</v>
      </c>
      <c r="J37" s="298">
        <v>3.5</v>
      </c>
      <c r="K37" s="296" t="s">
        <v>13</v>
      </c>
      <c r="L37" s="695">
        <f>IF(OR('H(R+S+L)'!N37="N.P.",'H(R+S+L)'!N37="",Moore!L37=""),"",'H(R+S+L)'!N37-Moore!L37)</f>
      </c>
      <c r="M37" s="347">
        <f>IF(OR('H(R+S+L)'!O37="N.P.",'H(R+S+L)'!O37="",Moore!M37=""),"",'H(R+S+L)'!O37-Moore!M37)</f>
      </c>
      <c r="N37" s="341">
        <f>IF(OR('H(R+S+L)'!P37="N.P.",'H(R+S+L)'!P37="",Moore!N37=""),"",'H(R+S+L)'!P37-Moore!N37)</f>
      </c>
      <c r="O37" s="342">
        <f>IF(OR('H(R+S+L)'!Q37="N.P.",'H(R+S+L)'!Q37="",Moore!O37=""),"",'H(R+S+L)'!Q37-Moore!O37)</f>
      </c>
      <c r="P37" s="347">
        <f>IF(OR('H(R+S+L)'!R37="N.P.",'H(R+S+L)'!R37="",Moore!P37=""),"",'H(R+S+L)'!R37-Moore!P37)</f>
      </c>
      <c r="Q37" s="341">
        <f>IF(OR('H(R+S+L)'!S37="N.P.",'H(R+S+L)'!S37="",Moore!Q37=""),"",'H(R+S+L)'!S37-Moore!Q37)</f>
      </c>
      <c r="R37" s="341">
        <f>IF(OR('H(R+S+L)'!T37="N.P.",'H(R+S+L)'!T37="",Moore!R37=""),"",'H(R+S+L)'!T37-Moore!R37)</f>
      </c>
      <c r="S37" s="341">
        <f>IF(OR('H(R+S+L)'!U37="N.P.",'H(R+S+L)'!U37="",Moore!S37=""),"",'H(R+S+L)'!U37-Moore!S37)</f>
      </c>
      <c r="T37" s="342">
        <f>IF(OR('H(R+S+L)'!V37="N.P.",'H(R+S+L)'!V37="",Moore!T37=""),"",'H(R+S+L)'!V37-Moore!T37)</f>
      </c>
      <c r="U37" s="347">
        <f>IF(OR('H(R+S+L)'!W37="N.P.",'H(R+S+L)'!W37="",Moore!U37=""),"",'H(R+S+L)'!W37-Moore!U37)</f>
      </c>
      <c r="V37" s="341">
        <f>IF(OR('H(R+S+L)'!X37="N.P.",'H(R+S+L)'!X37="",Moore!V37=""),"",'H(R+S+L)'!X37-Moore!V37)</f>
      </c>
      <c r="W37" s="341">
        <f>IF(OR('H(R+S+L)'!Y37="N.P.",'H(R+S+L)'!Y37="",Moore!W37=""),"",'H(R+S+L)'!Y37-Moore!W37)</f>
      </c>
      <c r="X37" s="341">
        <f>IF(OR('H(R+S+L)'!Z37="N.P.",'H(R+S+L)'!Z37="",Moore!X37=""),"",'H(R+S+L)'!Z37-Moore!X37)</f>
      </c>
      <c r="Y37" s="341">
        <f>IF(OR('H(R+S+L)'!AA37="N.P.",'H(R+S+L)'!AA37="",Moore!Y37=""),"",'H(R+S+L)'!AA37-Moore!Y37)</f>
      </c>
      <c r="Z37" s="341">
        <f>IF(OR('H(R+S+L)'!AB37="N.P.",'H(R+S+L)'!AB37="",Moore!Z37=""),"",'H(R+S+L)'!AB37-Moore!Z37)</f>
      </c>
      <c r="AA37" s="342">
        <f>IF(OR('H(R+S+L)'!AC37="N.P.",'H(R+S+L)'!AC37="",Moore!AA37=""),"",'H(R+S+L)'!AC37-Moore!AA37)</f>
      </c>
      <c r="AB37" s="347">
        <f>IF(OR('H(R+S+L)'!AD37="N.P.",'H(R+S+L)'!AD37="",Moore!AB37=""),"",'H(R+S+L)'!AD37-Moore!AB37)</f>
      </c>
      <c r="AC37" s="341">
        <f>IF(OR('H(R+S+L)'!AE37="N.P.",'H(R+S+L)'!AE37="",Moore!AC37=""),"",'H(R+S+L)'!AE37-Moore!AC37)</f>
      </c>
      <c r="AD37" s="341">
        <f>IF(OR('H(R+S+L)'!AF37="N.P.",'H(R+S+L)'!AF37="",Moore!AD37=""),"",'H(R+S+L)'!AF37-Moore!AD37)</f>
      </c>
      <c r="AE37" s="341">
        <f>IF(OR('H(R+S+L)'!AG37="N.P.",'H(R+S+L)'!AG37="",Moore!AE37=""),"",'H(R+S+L)'!AG37-Moore!AE37)</f>
      </c>
      <c r="AF37" s="341">
        <f>IF(OR('H(R+S+L)'!AH37="N.P.",'H(R+S+L)'!AH37="",Moore!AF37=""),"",'H(R+S+L)'!AH37-Moore!AF37)</f>
      </c>
      <c r="AG37" s="341">
        <f>IF(OR('H(R+S+L)'!AI37="N.P.",'H(R+S+L)'!AI37="",Moore!AG37=""),"",'H(R+S+L)'!AI37-Moore!AG37)</f>
      </c>
      <c r="AH37" s="341">
        <f>IF(OR('H(R+S+L)'!AJ37="N.P.",'H(R+S+L)'!AJ37="",Moore!AH37=""),"",'H(R+S+L)'!AJ37-Moore!AH37)</f>
      </c>
      <c r="AI37" s="341">
        <f>IF(OR('H(R+S+L)'!AK37="N.P.",'H(R+S+L)'!AK37="",Moore!AI37=""),"",'H(R+S+L)'!AK37-Moore!AI37)</f>
      </c>
      <c r="AJ37" s="342">
        <f>IF(OR('H(R+S+L)'!AL37="N.P.",'H(R+S+L)'!AL37="",Moore!AJ37=""),"",'H(R+S+L)'!AL37-Moore!AJ37)</f>
      </c>
      <c r="AK37" s="347">
        <f>IF(OR('H(R+S+L)'!AM37="N.P.",'H(R+S+L)'!AM37="",Moore!AK37=""),"",'H(R+S+L)'!AM37-Moore!AK37)</f>
      </c>
      <c r="AL37" s="341">
        <f>IF(OR('H(R+S+L)'!AN37="N.P.",'H(R+S+L)'!AN37="",Moore!AL37=""),"",'H(R+S+L)'!AN37-Moore!AL37)</f>
      </c>
      <c r="AM37" s="341">
        <f>IF(OR('H(R+S+L)'!AO37="N.P.",'H(R+S+L)'!AO37="",Moore!AM37=""),"",'H(R+S+L)'!AO37-Moore!AM37)</f>
      </c>
      <c r="AN37" s="341">
        <f>IF(OR('H(R+S+L)'!AP37="N.P.",'H(R+S+L)'!AP37="",Moore!AN37=""),"",'H(R+S+L)'!AP37-Moore!AN37)</f>
      </c>
      <c r="AO37" s="341">
        <f>IF(OR('H(R+S+L)'!AQ37="N.P.",'H(R+S+L)'!AQ37="",Moore!AO37=""),"",'H(R+S+L)'!AQ37-Moore!AO37)</f>
      </c>
      <c r="AP37" s="341">
        <f>IF(OR('H(R+S+L)'!AR37="N.P.",'H(R+S+L)'!AR37="",Moore!AP37=""),"",'H(R+S+L)'!AR37-Moore!AP37)</f>
      </c>
      <c r="AQ37" s="341">
        <f>IF(OR('H(R+S+L)'!AS37="N.P.",'H(R+S+L)'!AS37="",Moore!AQ37=""),"",'H(R+S+L)'!AS37-Moore!AQ37)</f>
      </c>
      <c r="AR37" s="341">
        <f>IF(OR('H(R+S+L)'!AT37="N.P.",'H(R+S+L)'!AT37="",Moore!AR37=""),"",'H(R+S+L)'!AT37-Moore!AR37)</f>
      </c>
      <c r="AS37" s="341">
        <f>IF(OR('H(R+S+L)'!AU37="N.P.",'H(R+S+L)'!AU37="",Moore!AS37=""),"",'H(R+S+L)'!AU37-Moore!AS37)</f>
      </c>
      <c r="AT37" s="341">
        <f>IF(OR('H(R+S+L)'!AV37="N.P.",'H(R+S+L)'!AV37="",Moore!AT37=""),"",'H(R+S+L)'!AV37-Moore!AT37)</f>
      </c>
      <c r="AU37" s="342">
        <f>IF(OR('H(R+S+L)'!AW37="N.P.",'H(R+S+L)'!AW37="",Moore!AU37=""),"",'H(R+S+L)'!AW37-Moore!AU37)</f>
      </c>
      <c r="AV37" s="347">
        <f>IF(OR('H(R+S+L)'!AX37="N.P.",'H(R+S+L)'!AX37="",Moore!AV37=""),"",'H(R+S+L)'!AX37-Moore!AV37)</f>
      </c>
      <c r="AW37" s="341">
        <f>IF(OR('H(R+S+L)'!AY37="N.P.",'H(R+S+L)'!AY37="",Moore!AW37=""),"",'H(R+S+L)'!AY37-Moore!AW37)</f>
      </c>
      <c r="AX37" s="341">
        <f>IF(OR('H(R+S+L)'!AZ37="N.P.",'H(R+S+L)'!AZ37="",Moore!AX37=""),"",'H(R+S+L)'!AZ37-Moore!AX37)</f>
      </c>
      <c r="AY37" s="341">
        <f>IF(OR('H(R+S+L)'!BA37="N.P.",'H(R+S+L)'!BA37="",Moore!AY37=""),"",'H(R+S+L)'!BA37-Moore!AY37)</f>
      </c>
      <c r="AZ37" s="341">
        <f>IF(OR('H(R+S+L)'!BB37="N.P.",'H(R+S+L)'!BB37="",Moore!AZ37=""),"",'H(R+S+L)'!BB37-Moore!AZ37)</f>
      </c>
      <c r="BA37" s="341">
        <f>IF(OR('H(R+S+L)'!BC37="N.P.",'H(R+S+L)'!BC37="",Moore!BA37=""),"",'H(R+S+L)'!BC37-Moore!BA37)</f>
      </c>
      <c r="BB37" s="341">
        <f>IF(OR('H(R+S+L)'!BD37="N.P.",'H(R+S+L)'!BD37="",Moore!BB37=""),"",'H(R+S+L)'!BD37-Moore!BB37)</f>
      </c>
      <c r="BC37" s="341">
        <f>IF(OR('H(R+S+L)'!BE37="N.P.",'H(R+S+L)'!BE37="",Moore!BC37=""),"",'H(R+S+L)'!BE37-Moore!BC37)</f>
      </c>
      <c r="BD37" s="341">
        <f>IF(OR('H(R+S+L)'!BF37="N.P.",'H(R+S+L)'!BF37="",Moore!BD37=""),"",'H(R+S+L)'!BF37-Moore!BD37)</f>
      </c>
      <c r="BE37" s="341">
        <f>IF(OR('H(R+S+L)'!BG37="N.P.",'H(R+S+L)'!BG37="",Moore!BE37=""),"",'H(R+S+L)'!BG37-Moore!BE37)</f>
      </c>
      <c r="BF37" s="341">
        <f>IF(OR('H(R+S+L)'!BH37="N.P.",'H(R+S+L)'!BH37="",Moore!BF37=""),"",'H(R+S+L)'!BH37-Moore!BF37)</f>
      </c>
      <c r="BG37" s="341">
        <f>IF(OR('H(R+S+L)'!BI37="N.P.",'H(R+S+L)'!BI37="",Moore!BG37=""),"",'H(R+S+L)'!BI37-Moore!BG37)</f>
      </c>
      <c r="BH37" s="342">
        <f>IF(OR('H(R+S+L)'!BJ37="N.P.",'H(R+S+L)'!BJ37="",Moore!BH37=""),"",'H(R+S+L)'!BJ37-Moore!BH37)</f>
      </c>
    </row>
    <row r="38" spans="7:60" ht="12.75">
      <c r="G38" s="788"/>
      <c r="H38" s="337">
        <f>'H(R+S+L)'!J38*1-Moore!H38</f>
        <v>-0.0001712748926365748</v>
      </c>
      <c r="I38" s="297">
        <v>5</v>
      </c>
      <c r="J38" s="298">
        <v>4.5</v>
      </c>
      <c r="K38" s="296" t="s">
        <v>14</v>
      </c>
      <c r="L38" s="695">
        <f>IF(OR('H(R+S+L)'!N38="N.P.",'H(R+S+L)'!N38="",Moore!L38=""),"",'H(R+S+L)'!N38-Moore!L38)</f>
      </c>
      <c r="M38" s="347">
        <f>IF(OR('H(R+S+L)'!O38="N.P.",'H(R+S+L)'!O38="",Moore!M38=""),"",'H(R+S+L)'!O38-Moore!M38)</f>
      </c>
      <c r="N38" s="341">
        <f>IF(OR('H(R+S+L)'!P38="N.P.",'H(R+S+L)'!P38="",Moore!N38=""),"",'H(R+S+L)'!P38-Moore!N38)</f>
      </c>
      <c r="O38" s="342">
        <f>IF(OR('H(R+S+L)'!Q38="N.P.",'H(R+S+L)'!Q38="",Moore!O38=""),"",'H(R+S+L)'!Q38-Moore!O38)</f>
      </c>
      <c r="P38" s="347">
        <f>IF(OR('H(R+S+L)'!R38="N.P.",'H(R+S+L)'!R38="",Moore!P38=""),"",'H(R+S+L)'!R38-Moore!P38)</f>
      </c>
      <c r="Q38" s="341">
        <f>IF(OR('H(R+S+L)'!S38="N.P.",'H(R+S+L)'!S38="",Moore!Q38=""),"",'H(R+S+L)'!S38-Moore!Q38)</f>
      </c>
      <c r="R38" s="341">
        <f>IF(OR('H(R+S+L)'!T38="N.P.",'H(R+S+L)'!T38="",Moore!R38=""),"",'H(R+S+L)'!T38-Moore!R38)</f>
      </c>
      <c r="S38" s="341">
        <f>IF(OR('H(R+S+L)'!U38="N.P.",'H(R+S+L)'!U38="",Moore!S38=""),"",'H(R+S+L)'!U38-Moore!S38)</f>
      </c>
      <c r="T38" s="342">
        <f>IF(OR('H(R+S+L)'!V38="N.P.",'H(R+S+L)'!V38="",Moore!T38=""),"",'H(R+S+L)'!V38-Moore!T38)</f>
      </c>
      <c r="U38" s="347">
        <f>IF(OR('H(R+S+L)'!W38="N.P.",'H(R+S+L)'!W38="",Moore!U38=""),"",'H(R+S+L)'!W38-Moore!U38)</f>
      </c>
      <c r="V38" s="341">
        <f>IF(OR('H(R+S+L)'!X38="N.P.",'H(R+S+L)'!X38="",Moore!V38=""),"",'H(R+S+L)'!X38-Moore!V38)</f>
      </c>
      <c r="W38" s="341">
        <f>IF(OR('H(R+S+L)'!Y38="N.P.",'H(R+S+L)'!Y38="",Moore!W38=""),"",'H(R+S+L)'!Y38-Moore!W38)</f>
      </c>
      <c r="X38" s="341">
        <f>IF(OR('H(R+S+L)'!Z38="N.P.",'H(R+S+L)'!Z38="",Moore!X38=""),"",'H(R+S+L)'!Z38-Moore!X38)</f>
      </c>
      <c r="Y38" s="341">
        <f>IF(OR('H(R+S+L)'!AA38="N.P.",'H(R+S+L)'!AA38="",Moore!Y38=""),"",'H(R+S+L)'!AA38-Moore!Y38)</f>
      </c>
      <c r="Z38" s="341">
        <f>IF(OR('H(R+S+L)'!AB38="N.P.",'H(R+S+L)'!AB38="",Moore!Z38=""),"",'H(R+S+L)'!AB38-Moore!Z38)</f>
        <v>0.1418591067485977</v>
      </c>
      <c r="AA38" s="342">
        <f>IF(OR('H(R+S+L)'!AC38="N.P.",'H(R+S+L)'!AC38="",Moore!AA38=""),"",'H(R+S+L)'!AC38-Moore!AA38)</f>
      </c>
      <c r="AB38" s="347">
        <f>IF(OR('H(R+S+L)'!AD38="N.P.",'H(R+S+L)'!AD38="",Moore!AB38=""),"",'H(R+S+L)'!AD38-Moore!AB38)</f>
      </c>
      <c r="AC38" s="341">
        <f>IF(OR('H(R+S+L)'!AE38="N.P.",'H(R+S+L)'!AE38="",Moore!AC38=""),"",'H(R+S+L)'!AE38-Moore!AC38)</f>
      </c>
      <c r="AD38" s="341">
        <f>IF(OR('H(R+S+L)'!AF38="N.P.",'H(R+S+L)'!AF38="",Moore!AD38=""),"",'H(R+S+L)'!AF38-Moore!AD38)</f>
      </c>
      <c r="AE38" s="341">
        <f>IF(OR('H(R+S+L)'!AG38="N.P.",'H(R+S+L)'!AG38="",Moore!AE38=""),"",'H(R+S+L)'!AG38-Moore!AE38)</f>
      </c>
      <c r="AF38" s="341">
        <f>IF(OR('H(R+S+L)'!AH38="N.P.",'H(R+S+L)'!AH38="",Moore!AF38=""),"",'H(R+S+L)'!AH38-Moore!AF38)</f>
      </c>
      <c r="AG38" s="341">
        <f>IF(OR('H(R+S+L)'!AI38="N.P.",'H(R+S+L)'!AI38="",Moore!AG38=""),"",'H(R+S+L)'!AI38-Moore!AG38)</f>
      </c>
      <c r="AH38" s="341">
        <f>IF(OR('H(R+S+L)'!AJ38="N.P.",'H(R+S+L)'!AJ38="",Moore!AH38=""),"",'H(R+S+L)'!AJ38-Moore!AH38)</f>
      </c>
      <c r="AI38" s="341">
        <f>IF(OR('H(R+S+L)'!AK38="N.P.",'H(R+S+L)'!AK38="",Moore!AI38=""),"",'H(R+S+L)'!AK38-Moore!AI38)</f>
      </c>
      <c r="AJ38" s="342">
        <f>IF(OR('H(R+S+L)'!AL38="N.P.",'H(R+S+L)'!AL38="",Moore!AJ38=""),"",'H(R+S+L)'!AL38-Moore!AJ38)</f>
      </c>
      <c r="AK38" s="347">
        <f>IF(OR('H(R+S+L)'!AM38="N.P.",'H(R+S+L)'!AM38="",Moore!AK38=""),"",'H(R+S+L)'!AM38-Moore!AK38)</f>
      </c>
      <c r="AL38" s="341">
        <f>IF(OR('H(R+S+L)'!AN38="N.P.",'H(R+S+L)'!AN38="",Moore!AL38=""),"",'H(R+S+L)'!AN38-Moore!AL38)</f>
      </c>
      <c r="AM38" s="341">
        <f>IF(OR('H(R+S+L)'!AO38="N.P.",'H(R+S+L)'!AO38="",Moore!AM38=""),"",'H(R+S+L)'!AO38-Moore!AM38)</f>
      </c>
      <c r="AN38" s="341">
        <f>IF(OR('H(R+S+L)'!AP38="N.P.",'H(R+S+L)'!AP38="",Moore!AN38=""),"",'H(R+S+L)'!AP38-Moore!AN38)</f>
      </c>
      <c r="AO38" s="341">
        <f>IF(OR('H(R+S+L)'!AQ38="N.P.",'H(R+S+L)'!AQ38="",Moore!AO38=""),"",'H(R+S+L)'!AQ38-Moore!AO38)</f>
      </c>
      <c r="AP38" s="341">
        <f>IF(OR('H(R+S+L)'!AR38="N.P.",'H(R+S+L)'!AR38="",Moore!AP38=""),"",'H(R+S+L)'!AR38-Moore!AP38)</f>
      </c>
      <c r="AQ38" s="341">
        <f>IF(OR('H(R+S+L)'!AS38="N.P.",'H(R+S+L)'!AS38="",Moore!AQ38=""),"",'H(R+S+L)'!AS38-Moore!AQ38)</f>
      </c>
      <c r="AR38" s="341">
        <f>IF(OR('H(R+S+L)'!AT38="N.P.",'H(R+S+L)'!AT38="",Moore!AR38=""),"",'H(R+S+L)'!AT38-Moore!AR38)</f>
      </c>
      <c r="AS38" s="341">
        <f>IF(OR('H(R+S+L)'!AU38="N.P.",'H(R+S+L)'!AU38="",Moore!AS38=""),"",'H(R+S+L)'!AU38-Moore!AS38)</f>
      </c>
      <c r="AT38" s="341">
        <f>IF(OR('H(R+S+L)'!AV38="N.P.",'H(R+S+L)'!AV38="",Moore!AT38=""),"",'H(R+S+L)'!AV38-Moore!AT38)</f>
      </c>
      <c r="AU38" s="342">
        <f>IF(OR('H(R+S+L)'!AW38="N.P.",'H(R+S+L)'!AW38="",Moore!AU38=""),"",'H(R+S+L)'!AW38-Moore!AU38)</f>
      </c>
      <c r="AV38" s="347">
        <f>IF(OR('H(R+S+L)'!AX38="N.P.",'H(R+S+L)'!AX38="",Moore!AV38=""),"",'H(R+S+L)'!AX38-Moore!AV38)</f>
      </c>
      <c r="AW38" s="341">
        <f>IF(OR('H(R+S+L)'!AY38="N.P.",'H(R+S+L)'!AY38="",Moore!AW38=""),"",'H(R+S+L)'!AY38-Moore!AW38)</f>
      </c>
      <c r="AX38" s="341">
        <f>IF(OR('H(R+S+L)'!AZ38="N.P.",'H(R+S+L)'!AZ38="",Moore!AX38=""),"",'H(R+S+L)'!AZ38-Moore!AX38)</f>
      </c>
      <c r="AY38" s="341">
        <f>IF(OR('H(R+S+L)'!BA38="N.P.",'H(R+S+L)'!BA38="",Moore!AY38=""),"",'H(R+S+L)'!BA38-Moore!AY38)</f>
      </c>
      <c r="AZ38" s="341">
        <f>IF(OR('H(R+S+L)'!BB38="N.P.",'H(R+S+L)'!BB38="",Moore!AZ38=""),"",'H(R+S+L)'!BB38-Moore!AZ38)</f>
      </c>
      <c r="BA38" s="341">
        <f>IF(OR('H(R+S+L)'!BC38="N.P.",'H(R+S+L)'!BC38="",Moore!BA38=""),"",'H(R+S+L)'!BC38-Moore!BA38)</f>
      </c>
      <c r="BB38" s="341">
        <f>IF(OR('H(R+S+L)'!BD38="N.P.",'H(R+S+L)'!BD38="",Moore!BB38=""),"",'H(R+S+L)'!BD38-Moore!BB38)</f>
      </c>
      <c r="BC38" s="341">
        <f>IF(OR('H(R+S+L)'!BE38="N.P.",'H(R+S+L)'!BE38="",Moore!BC38=""),"",'H(R+S+L)'!BE38-Moore!BC38)</f>
      </c>
      <c r="BD38" s="341">
        <f>IF(OR('H(R+S+L)'!BF38="N.P.",'H(R+S+L)'!BF38="",Moore!BD38=""),"",'H(R+S+L)'!BF38-Moore!BD38)</f>
      </c>
      <c r="BE38" s="341">
        <f>IF(OR('H(R+S+L)'!BG38="N.P.",'H(R+S+L)'!BG38="",Moore!BE38=""),"",'H(R+S+L)'!BG38-Moore!BE38)</f>
      </c>
      <c r="BF38" s="341">
        <f>IF(OR('H(R+S+L)'!BH38="N.P.",'H(R+S+L)'!BH38="",Moore!BF38=""),"",'H(R+S+L)'!BH38-Moore!BF38)</f>
      </c>
      <c r="BG38" s="341">
        <f>IF(OR('H(R+S+L)'!BI38="N.P.",'H(R+S+L)'!BI38="",Moore!BG38=""),"",'H(R+S+L)'!BI38-Moore!BG38)</f>
      </c>
      <c r="BH38" s="342">
        <f>IF(OR('H(R+S+L)'!BJ38="N.P.",'H(R+S+L)'!BJ38="",Moore!BH38=""),"",'H(R+S+L)'!BJ38-Moore!BH38)</f>
      </c>
    </row>
    <row r="39" spans="7:60" ht="13.5" thickBot="1">
      <c r="G39" s="789"/>
      <c r="H39" s="338">
        <f>'H(R+S+L)'!J39*1-Moore!H39</f>
        <v>0.0003548165987012908</v>
      </c>
      <c r="I39" s="330">
        <v>5</v>
      </c>
      <c r="J39" s="327">
        <v>4.5</v>
      </c>
      <c r="K39" s="328" t="s">
        <v>15</v>
      </c>
      <c r="L39" s="696">
        <f>IF(OR('H(R+S+L)'!N39="N.P.",'H(R+S+L)'!N39="",Moore!L39=""),"",'H(R+S+L)'!N39-Moore!L39)</f>
      </c>
      <c r="M39" s="348">
        <f>IF(OR('H(R+S+L)'!O39="N.P.",'H(R+S+L)'!O39="",Moore!M39=""),"",'H(R+S+L)'!O39-Moore!M39)</f>
      </c>
      <c r="N39" s="343">
        <f>IF(OR('H(R+S+L)'!P39="N.P.",'H(R+S+L)'!P39="",Moore!N39=""),"",'H(R+S+L)'!P39-Moore!N39)</f>
      </c>
      <c r="O39" s="344">
        <f>IF(OR('H(R+S+L)'!Q39="N.P.",'H(R+S+L)'!Q39="",Moore!O39=""),"",'H(R+S+L)'!Q39-Moore!O39)</f>
      </c>
      <c r="P39" s="348">
        <f>IF(OR('H(R+S+L)'!R39="N.P.",'H(R+S+L)'!R39="",Moore!P39=""),"",'H(R+S+L)'!R39-Moore!P39)</f>
      </c>
      <c r="Q39" s="343">
        <f>IF(OR('H(R+S+L)'!S39="N.P.",'H(R+S+L)'!S39="",Moore!Q39=""),"",'H(R+S+L)'!S39-Moore!Q39)</f>
      </c>
      <c r="R39" s="343">
        <f>IF(OR('H(R+S+L)'!T39="N.P.",'H(R+S+L)'!T39="",Moore!R39=""),"",'H(R+S+L)'!T39-Moore!R39)</f>
      </c>
      <c r="S39" s="343">
        <f>IF(OR('H(R+S+L)'!U39="N.P.",'H(R+S+L)'!U39="",Moore!S39=""),"",'H(R+S+L)'!U39-Moore!S39)</f>
      </c>
      <c r="T39" s="344">
        <f>IF(OR('H(R+S+L)'!V39="N.P.",'H(R+S+L)'!V39="",Moore!T39=""),"",'H(R+S+L)'!V39-Moore!T39)</f>
      </c>
      <c r="U39" s="348">
        <f>IF(OR('H(R+S+L)'!W39="N.P.",'H(R+S+L)'!W39="",Moore!U39=""),"",'H(R+S+L)'!W39-Moore!U39)</f>
      </c>
      <c r="V39" s="343">
        <f>IF(OR('H(R+S+L)'!X39="N.P.",'H(R+S+L)'!X39="",Moore!V39=""),"",'H(R+S+L)'!X39-Moore!V39)</f>
      </c>
      <c r="W39" s="343">
        <f>IF(OR('H(R+S+L)'!Y39="N.P.",'H(R+S+L)'!Y39="",Moore!W39=""),"",'H(R+S+L)'!Y39-Moore!W39)</f>
      </c>
      <c r="X39" s="343">
        <f>IF(OR('H(R+S+L)'!Z39="N.P.",'H(R+S+L)'!Z39="",Moore!X39=""),"",'H(R+S+L)'!Z39-Moore!X39)</f>
      </c>
      <c r="Y39" s="343">
        <f>IF(OR('H(R+S+L)'!AA39="N.P.",'H(R+S+L)'!AA39="",Moore!Y39=""),"",'H(R+S+L)'!AA39-Moore!Y39)</f>
      </c>
      <c r="Z39" s="343">
        <f>IF(OR('H(R+S+L)'!AB39="N.P.",'H(R+S+L)'!AB39="",Moore!Z39=""),"",'H(R+S+L)'!AB39-Moore!Z39)</f>
      </c>
      <c r="AA39" s="344">
        <f>IF(OR('H(R+S+L)'!AC39="N.P.",'H(R+S+L)'!AC39="",Moore!AA39=""),"",'H(R+S+L)'!AC39-Moore!AA39)</f>
      </c>
      <c r="AB39" s="348">
        <f>IF(OR('H(R+S+L)'!AD39="N.P.",'H(R+S+L)'!AD39="",Moore!AB39=""),"",'H(R+S+L)'!AD39-Moore!AB39)</f>
      </c>
      <c r="AC39" s="343">
        <f>IF(OR('H(R+S+L)'!AE39="N.P.",'H(R+S+L)'!AE39="",Moore!AC39=""),"",'H(R+S+L)'!AE39-Moore!AC39)</f>
      </c>
      <c r="AD39" s="343">
        <f>IF(OR('H(R+S+L)'!AF39="N.P.",'H(R+S+L)'!AF39="",Moore!AD39=""),"",'H(R+S+L)'!AF39-Moore!AD39)</f>
      </c>
      <c r="AE39" s="343">
        <f>IF(OR('H(R+S+L)'!AG39="N.P.",'H(R+S+L)'!AG39="",Moore!AE39=""),"",'H(R+S+L)'!AG39-Moore!AE39)</f>
      </c>
      <c r="AF39" s="343">
        <f>IF(OR('H(R+S+L)'!AH39="N.P.",'H(R+S+L)'!AH39="",Moore!AF39=""),"",'H(R+S+L)'!AH39-Moore!AF39)</f>
      </c>
      <c r="AG39" s="343">
        <f>IF(OR('H(R+S+L)'!AI39="N.P.",'H(R+S+L)'!AI39="",Moore!AG39=""),"",'H(R+S+L)'!AI39-Moore!AG39)</f>
      </c>
      <c r="AH39" s="343">
        <f>IF(OR('H(R+S+L)'!AJ39="N.P.",'H(R+S+L)'!AJ39="",Moore!AH39=""),"",'H(R+S+L)'!AJ39-Moore!AH39)</f>
      </c>
      <c r="AI39" s="343">
        <f>IF(OR('H(R+S+L)'!AK39="N.P.",'H(R+S+L)'!AK39="",Moore!AI39=""),"",'H(R+S+L)'!AK39-Moore!AI39)</f>
      </c>
      <c r="AJ39" s="344">
        <f>IF(OR('H(R+S+L)'!AL39="N.P.",'H(R+S+L)'!AL39="",Moore!AJ39=""),"",'H(R+S+L)'!AL39-Moore!AJ39)</f>
      </c>
      <c r="AK39" s="348">
        <f>IF(OR('H(R+S+L)'!AM39="N.P.",'H(R+S+L)'!AM39="",Moore!AK39=""),"",'H(R+S+L)'!AM39-Moore!AK39)</f>
      </c>
      <c r="AL39" s="343">
        <f>IF(OR('H(R+S+L)'!AN39="N.P.",'H(R+S+L)'!AN39="",Moore!AL39=""),"",'H(R+S+L)'!AN39-Moore!AL39)</f>
      </c>
      <c r="AM39" s="343">
        <f>IF(OR('H(R+S+L)'!AO39="N.P.",'H(R+S+L)'!AO39="",Moore!AM39=""),"",'H(R+S+L)'!AO39-Moore!AM39)</f>
      </c>
      <c r="AN39" s="343">
        <f>IF(OR('H(R+S+L)'!AP39="N.P.",'H(R+S+L)'!AP39="",Moore!AN39=""),"",'H(R+S+L)'!AP39-Moore!AN39)</f>
      </c>
      <c r="AO39" s="343">
        <f>IF(OR('H(R+S+L)'!AQ39="N.P.",'H(R+S+L)'!AQ39="",Moore!AO39=""),"",'H(R+S+L)'!AQ39-Moore!AO39)</f>
      </c>
      <c r="AP39" s="343">
        <f>IF(OR('H(R+S+L)'!AR39="N.P.",'H(R+S+L)'!AR39="",Moore!AP39=""),"",'H(R+S+L)'!AR39-Moore!AP39)</f>
      </c>
      <c r="AQ39" s="343">
        <f>IF(OR('H(R+S+L)'!AS39="N.P.",'H(R+S+L)'!AS39="",Moore!AQ39=""),"",'H(R+S+L)'!AS39-Moore!AQ39)</f>
      </c>
      <c r="AR39" s="343">
        <f>IF(OR('H(R+S+L)'!AT39="N.P.",'H(R+S+L)'!AT39="",Moore!AR39=""),"",'H(R+S+L)'!AT39-Moore!AR39)</f>
      </c>
      <c r="AS39" s="343">
        <f>IF(OR('H(R+S+L)'!AU39="N.P.",'H(R+S+L)'!AU39="",Moore!AS39=""),"",'H(R+S+L)'!AU39-Moore!AS39)</f>
      </c>
      <c r="AT39" s="343">
        <f>IF(OR('H(R+S+L)'!AV39="N.P.",'H(R+S+L)'!AV39="",Moore!AT39=""),"",'H(R+S+L)'!AV39-Moore!AT39)</f>
      </c>
      <c r="AU39" s="344">
        <f>IF(OR('H(R+S+L)'!AW39="N.P.",'H(R+S+L)'!AW39="",Moore!AU39=""),"",'H(R+S+L)'!AW39-Moore!AU39)</f>
      </c>
      <c r="AV39" s="348">
        <f>IF(OR('H(R+S+L)'!AX39="N.P.",'H(R+S+L)'!AX39="",Moore!AV39=""),"",'H(R+S+L)'!AX39-Moore!AV39)</f>
      </c>
      <c r="AW39" s="343">
        <f>IF(OR('H(R+S+L)'!AY39="N.P.",'H(R+S+L)'!AY39="",Moore!AW39=""),"",'H(R+S+L)'!AY39-Moore!AW39)</f>
      </c>
      <c r="AX39" s="343">
        <f>IF(OR('H(R+S+L)'!AZ39="N.P.",'H(R+S+L)'!AZ39="",Moore!AX39=""),"",'H(R+S+L)'!AZ39-Moore!AX39)</f>
      </c>
      <c r="AY39" s="343">
        <f>IF(OR('H(R+S+L)'!BA39="N.P.",'H(R+S+L)'!BA39="",Moore!AY39=""),"",'H(R+S+L)'!BA39-Moore!AY39)</f>
      </c>
      <c r="AZ39" s="343">
        <f>IF(OR('H(R+S+L)'!BB39="N.P.",'H(R+S+L)'!BB39="",Moore!AZ39=""),"",'H(R+S+L)'!BB39-Moore!AZ39)</f>
      </c>
      <c r="BA39" s="343">
        <f>IF(OR('H(R+S+L)'!BC39="N.P.",'H(R+S+L)'!BC39="",Moore!BA39=""),"",'H(R+S+L)'!BC39-Moore!BA39)</f>
      </c>
      <c r="BB39" s="343">
        <f>IF(OR('H(R+S+L)'!BD39="N.P.",'H(R+S+L)'!BD39="",Moore!BB39=""),"",'H(R+S+L)'!BD39-Moore!BB39)</f>
      </c>
      <c r="BC39" s="343">
        <f>IF(OR('H(R+S+L)'!BE39="N.P.",'H(R+S+L)'!BE39="",Moore!BC39=""),"",'H(R+S+L)'!BE39-Moore!BC39)</f>
      </c>
      <c r="BD39" s="343">
        <f>IF(OR('H(R+S+L)'!BF39="N.P.",'H(R+S+L)'!BF39="",Moore!BD39=""),"",'H(R+S+L)'!BF39-Moore!BD39)</f>
      </c>
      <c r="BE39" s="343">
        <f>IF(OR('H(R+S+L)'!BG39="N.P.",'H(R+S+L)'!BG39="",Moore!BE39=""),"",'H(R+S+L)'!BG39-Moore!BE39)</f>
      </c>
      <c r="BF39" s="343">
        <f>IF(OR('H(R+S+L)'!BH39="N.P.",'H(R+S+L)'!BH39="",Moore!BF39=""),"",'H(R+S+L)'!BH39-Moore!BF39)</f>
      </c>
      <c r="BG39" s="343">
        <f>IF(OR('H(R+S+L)'!BI39="N.P.",'H(R+S+L)'!BI39="",Moore!BG39=""),"",'H(R+S+L)'!BI39-Moore!BG39)</f>
      </c>
      <c r="BH39" s="344">
        <f>IF(OR('H(R+S+L)'!BJ39="N.P.",'H(R+S+L)'!BJ39="",Moore!BH39=""),"",'H(R+S+L)'!BJ39-Moore!BH39)</f>
      </c>
    </row>
    <row r="40" spans="7:60" ht="13.5" thickTop="1">
      <c r="G40" s="787">
        <f>SUM(H40:H50)/11</f>
        <v>-0.0008729580123062161</v>
      </c>
      <c r="H40" s="336">
        <f>'H(R+S+L)'!J40*1-Moore!H40</f>
        <v>-0.0028693170606857166</v>
      </c>
      <c r="I40" s="332">
        <v>6</v>
      </c>
      <c r="J40" s="333">
        <v>0.5</v>
      </c>
      <c r="K40" s="334" t="s">
        <v>7</v>
      </c>
      <c r="L40" s="697">
        <f>IF(OR('H(R+S+L)'!N40="N.P.",'H(R+S+L)'!N40="",Moore!L40=""),"",'H(R+S+L)'!N40-Moore!L40)</f>
      </c>
      <c r="M40" s="349">
        <f>IF(OR('H(R+S+L)'!O40="N.P.",'H(R+S+L)'!O40="",Moore!M40=""),"",'H(R+S+L)'!O40-Moore!M40)</f>
      </c>
      <c r="N40" s="345">
        <f>IF(OR('H(R+S+L)'!P40="N.P.",'H(R+S+L)'!P40="",Moore!N40=""),"",'H(R+S+L)'!P40-Moore!N40)</f>
        <v>0.00014403800014406443</v>
      </c>
      <c r="O40" s="346">
        <f>IF(OR('H(R+S+L)'!Q40="N.P.",'H(R+S+L)'!Q40="",Moore!O40=""),"",'H(R+S+L)'!Q40-Moore!O40)</f>
        <v>0.0003960467647630139</v>
      </c>
      <c r="P40" s="349">
        <f>IF(OR('H(R+S+L)'!R40="N.P.",'H(R+S+L)'!R40="",Moore!P40=""),"",'H(R+S+L)'!R40-Moore!P40)</f>
      </c>
      <c r="Q40" s="345">
        <f>IF(OR('H(R+S+L)'!S40="N.P.",'H(R+S+L)'!S40="",Moore!Q40=""),"",'H(R+S+L)'!S40-Moore!Q40)</f>
        <v>0.000855985477755894</v>
      </c>
      <c r="R40" s="345">
        <f>IF(OR('H(R+S+L)'!T40="N.P.",'H(R+S+L)'!T40="",Moore!R40=""),"",'H(R+S+L)'!T40-Moore!R40)</f>
        <v>0.002983861690154299</v>
      </c>
      <c r="S40" s="345">
        <f>IF(OR('H(R+S+L)'!U40="N.P.",'H(R+S+L)'!U40="",Moore!S40=""),"",'H(R+S+L)'!U40-Moore!S40)</f>
      </c>
      <c r="T40" s="346">
        <f>IF(OR('H(R+S+L)'!V40="N.P.",'H(R+S+L)'!V40="",Moore!T40=""),"",'H(R+S+L)'!V40-Moore!T40)</f>
      </c>
      <c r="U40" s="365">
        <f>IF(OR('H(R+S+L)'!W40="N.P.",'H(R+S+L)'!W40="",Moore!U40=""),"",'H(R+S+L)'!W40-Moore!U40)</f>
      </c>
      <c r="V40" s="364">
        <f>IF(OR('H(R+S+L)'!X40="N.P.",'H(R+S+L)'!X40="",Moore!V40=""),"",'H(R+S+L)'!X40-Moore!V40)</f>
        <v>-0.015042115453979932</v>
      </c>
      <c r="W40" s="345">
        <f>IF(OR('H(R+S+L)'!Y40="N.P.",'H(R+S+L)'!Y40="",Moore!W40=""),"",'H(R+S+L)'!Y40-Moore!W40)</f>
        <v>-0.012554331220599124</v>
      </c>
      <c r="X40" s="345">
        <f>IF(OR('H(R+S+L)'!Z40="N.P.",'H(R+S+L)'!Z40="",Moore!X40=""),"",'H(R+S+L)'!Z40-Moore!X40)</f>
      </c>
      <c r="Y40" s="345">
        <f>IF(OR('H(R+S+L)'!AA40="N.P.",'H(R+S+L)'!AA40="",Moore!Y40=""),"",'H(R+S+L)'!AA40-Moore!Y40)</f>
      </c>
      <c r="Z40" s="345">
        <f>IF(OR('H(R+S+L)'!AB40="N.P.",'H(R+S+L)'!AB40="",Moore!Z40=""),"",'H(R+S+L)'!AB40-Moore!Z40)</f>
      </c>
      <c r="AA40" s="346">
        <f>IF(OR('H(R+S+L)'!AC40="N.P.",'H(R+S+L)'!AC40="",Moore!AA40=""),"",'H(R+S+L)'!AC40-Moore!AA40)</f>
      </c>
      <c r="AB40" s="356">
        <f>IF(OR('H(R+S+L)'!AD40="N.P.",'H(R+S+L)'!AD40="",Moore!AB40=""),"",'H(R+S+L)'!AD40-Moore!AB40)</f>
      </c>
      <c r="AC40" s="357">
        <f>IF(OR('H(R+S+L)'!AE40="N.P.",'H(R+S+L)'!AE40="",Moore!AC40=""),"",'H(R+S+L)'!AE40-Moore!AC40)</f>
        <v>-0.1572202703973744</v>
      </c>
      <c r="AD40" s="345">
        <f>IF(OR('H(R+S+L)'!AF40="N.P.",'H(R+S+L)'!AF40="",Moore!AD40=""),"",'H(R+S+L)'!AF40-Moore!AD40)</f>
      </c>
      <c r="AE40" s="345">
        <f>IF(OR('H(R+S+L)'!AG40="N.P.",'H(R+S+L)'!AG40="",Moore!AE40=""),"",'H(R+S+L)'!AG40-Moore!AE40)</f>
      </c>
      <c r="AF40" s="345">
        <f>IF(OR('H(R+S+L)'!AH40="N.P.",'H(R+S+L)'!AH40="",Moore!AF40=""),"",'H(R+S+L)'!AH40-Moore!AF40)</f>
      </c>
      <c r="AG40" s="345">
        <f>IF(OR('H(R+S+L)'!AI40="N.P.",'H(R+S+L)'!AI40="",Moore!AG40=""),"",'H(R+S+L)'!AI40-Moore!AG40)</f>
      </c>
      <c r="AH40" s="345">
        <f>IF(OR('H(R+S+L)'!AJ40="N.P.",'H(R+S+L)'!AJ40="",Moore!AH40=""),"",'H(R+S+L)'!AJ40-Moore!AH40)</f>
      </c>
      <c r="AI40" s="345">
        <f>IF(OR('H(R+S+L)'!AK40="N.P.",'H(R+S+L)'!AK40="",Moore!AI40=""),"",'H(R+S+L)'!AK40-Moore!AI40)</f>
      </c>
      <c r="AJ40" s="346">
        <f>IF(OR('H(R+S+L)'!AL40="N.P.",'H(R+S+L)'!AL40="",Moore!AJ40=""),"",'H(R+S+L)'!AL40-Moore!AJ40)</f>
      </c>
      <c r="AK40" s="349">
        <f>IF(OR('H(R+S+L)'!AM40="N.P.",'H(R+S+L)'!AM40="",Moore!AK40=""),"",'H(R+S+L)'!AM40-Moore!AK40)</f>
      </c>
      <c r="AL40" s="345">
        <f>IF(OR('H(R+S+L)'!AN40="N.P.",'H(R+S+L)'!AN40="",Moore!AL40=""),"",'H(R+S+L)'!AN40-Moore!AL40)</f>
      </c>
      <c r="AM40" s="345">
        <f>IF(OR('H(R+S+L)'!AO40="N.P.",'H(R+S+L)'!AO40="",Moore!AM40=""),"",'H(R+S+L)'!AO40-Moore!AM40)</f>
      </c>
      <c r="AN40" s="345">
        <f>IF(OR('H(R+S+L)'!AP40="N.P.",'H(R+S+L)'!AP40="",Moore!AN40=""),"",'H(R+S+L)'!AP40-Moore!AN40)</f>
      </c>
      <c r="AO40" s="345">
        <f>IF(OR('H(R+S+L)'!AQ40="N.P.",'H(R+S+L)'!AQ40="",Moore!AO40=""),"",'H(R+S+L)'!AQ40-Moore!AO40)</f>
      </c>
      <c r="AP40" s="345">
        <f>IF(OR('H(R+S+L)'!AR40="N.P.",'H(R+S+L)'!AR40="",Moore!AP40=""),"",'H(R+S+L)'!AR40-Moore!AP40)</f>
      </c>
      <c r="AQ40" s="345">
        <f>IF(OR('H(R+S+L)'!AS40="N.P.",'H(R+S+L)'!AS40="",Moore!AQ40=""),"",'H(R+S+L)'!AS40-Moore!AQ40)</f>
      </c>
      <c r="AR40" s="345">
        <f>IF(OR('H(R+S+L)'!AT40="N.P.",'H(R+S+L)'!AT40="",Moore!AR40=""),"",'H(R+S+L)'!AT40-Moore!AR40)</f>
      </c>
      <c r="AS40" s="345">
        <f>IF(OR('H(R+S+L)'!AU40="N.P.",'H(R+S+L)'!AU40="",Moore!AS40=""),"",'H(R+S+L)'!AU40-Moore!AS40)</f>
      </c>
      <c r="AT40" s="345">
        <f>IF(OR('H(R+S+L)'!AV40="N.P.",'H(R+S+L)'!AV40="",Moore!AT40=""),"",'H(R+S+L)'!AV40-Moore!AT40)</f>
      </c>
      <c r="AU40" s="346">
        <f>IF(OR('H(R+S+L)'!AW40="N.P.",'H(R+S+L)'!AW40="",Moore!AU40=""),"",'H(R+S+L)'!AW40-Moore!AU40)</f>
      </c>
      <c r="AV40" s="349">
        <f>IF(OR('H(R+S+L)'!AX40="N.P.",'H(R+S+L)'!AX40="",Moore!AV40=""),"",'H(R+S+L)'!AX40-Moore!AV40)</f>
      </c>
      <c r="AW40" s="345">
        <f>IF(OR('H(R+S+L)'!AY40="N.P.",'H(R+S+L)'!AY40="",Moore!AW40=""),"",'H(R+S+L)'!AY40-Moore!AW40)</f>
      </c>
      <c r="AX40" s="345">
        <f>IF(OR('H(R+S+L)'!AZ40="N.P.",'H(R+S+L)'!AZ40="",Moore!AX40=""),"",'H(R+S+L)'!AZ40-Moore!AX40)</f>
      </c>
      <c r="AY40" s="345">
        <f>IF(OR('H(R+S+L)'!BA40="N.P.",'H(R+S+L)'!BA40="",Moore!AY40=""),"",'H(R+S+L)'!BA40-Moore!AY40)</f>
      </c>
      <c r="AZ40" s="345">
        <f>IF(OR('H(R+S+L)'!BB40="N.P.",'H(R+S+L)'!BB40="",Moore!AZ40=""),"",'H(R+S+L)'!BB40-Moore!AZ40)</f>
      </c>
      <c r="BA40" s="345">
        <f>IF(OR('H(R+S+L)'!BC40="N.P.",'H(R+S+L)'!BC40="",Moore!BA40=""),"",'H(R+S+L)'!BC40-Moore!BA40)</f>
      </c>
      <c r="BB40" s="345">
        <f>IF(OR('H(R+S+L)'!BD40="N.P.",'H(R+S+L)'!BD40="",Moore!BB40=""),"",'H(R+S+L)'!BD40-Moore!BB40)</f>
      </c>
      <c r="BC40" s="345">
        <f>IF(OR('H(R+S+L)'!BE40="N.P.",'H(R+S+L)'!BE40="",Moore!BC40=""),"",'H(R+S+L)'!BE40-Moore!BC40)</f>
      </c>
      <c r="BD40" s="345">
        <f>IF(OR('H(R+S+L)'!BF40="N.P.",'H(R+S+L)'!BF40="",Moore!BD40=""),"",'H(R+S+L)'!BF40-Moore!BD40)</f>
      </c>
      <c r="BE40" s="345">
        <f>IF(OR('H(R+S+L)'!BG40="N.P.",'H(R+S+L)'!BG40="",Moore!BE40=""),"",'H(R+S+L)'!BG40-Moore!BE40)</f>
      </c>
      <c r="BF40" s="345">
        <f>IF(OR('H(R+S+L)'!BH40="N.P.",'H(R+S+L)'!BH40="",Moore!BF40=""),"",'H(R+S+L)'!BH40-Moore!BF40)</f>
      </c>
      <c r="BG40" s="345">
        <f>IF(OR('H(R+S+L)'!BI40="N.P.",'H(R+S+L)'!BI40="",Moore!BG40=""),"",'H(R+S+L)'!BI40-Moore!BG40)</f>
      </c>
      <c r="BH40" s="346">
        <f>IF(OR('H(R+S+L)'!BJ40="N.P.",'H(R+S+L)'!BJ40="",Moore!BH40=""),"",'H(R+S+L)'!BJ40-Moore!BH40)</f>
      </c>
    </row>
    <row r="41" spans="7:60" ht="12.75">
      <c r="G41" s="788"/>
      <c r="H41" s="337">
        <f>'H(R+S+L)'!J41*1-Moore!H41</f>
        <v>-0.00274674546380993</v>
      </c>
      <c r="I41" s="297">
        <v>6</v>
      </c>
      <c r="J41" s="298">
        <v>1.5</v>
      </c>
      <c r="K41" s="296" t="s">
        <v>8</v>
      </c>
      <c r="L41" s="695">
        <f>IF(OR('H(R+S+L)'!N41="N.P.",'H(R+S+L)'!N41="",Moore!L41=""),"",'H(R+S+L)'!N41-Moore!L41)</f>
        <v>2.479354122897348E-05</v>
      </c>
      <c r="M41" s="347">
        <f>IF(OR('H(R+S+L)'!O41="N.P.",'H(R+S+L)'!O41="",Moore!M41=""),"",'H(R+S+L)'!O41-Moore!M41)</f>
        <v>9.373893499287078E-05</v>
      </c>
      <c r="N41" s="341">
        <f>IF(OR('H(R+S+L)'!P41="N.P.",'H(R+S+L)'!P41="",Moore!N41=""),"",'H(R+S+L)'!P41-Moore!N41)</f>
      </c>
      <c r="O41" s="342">
        <f>IF(OR('H(R+S+L)'!Q41="N.P.",'H(R+S+L)'!Q41="",Moore!O41=""),"",'H(R+S+L)'!Q41-Moore!O41)</f>
      </c>
      <c r="P41" s="347">
        <f>IF(OR('H(R+S+L)'!R41="N.P.",'H(R+S+L)'!R41="",Moore!P41=""),"",'H(R+S+L)'!R41-Moore!P41)</f>
        <v>0.004070722899996326</v>
      </c>
      <c r="Q41" s="341">
        <f>IF(OR('H(R+S+L)'!S41="N.P.",'H(R+S+L)'!S41="",Moore!Q41=""),"",'H(R+S+L)'!S41-Moore!Q41)</f>
      </c>
      <c r="R41" s="341">
        <f>IF(OR('H(R+S+L)'!T41="N.P.",'H(R+S+L)'!T41="",Moore!R41=""),"",'H(R+S+L)'!T41-Moore!R41)</f>
      </c>
      <c r="S41" s="341">
        <f>IF(OR('H(R+S+L)'!U41="N.P.",'H(R+S+L)'!U41="",Moore!S41=""),"",'H(R+S+L)'!U41-Moore!S41)</f>
      </c>
      <c r="T41" s="342">
        <f>IF(OR('H(R+S+L)'!V41="N.P.",'H(R+S+L)'!V41="",Moore!T41=""),"",'H(R+S+L)'!V41-Moore!T41)</f>
      </c>
      <c r="U41" s="347">
        <f>IF(OR('H(R+S+L)'!W41="N.P.",'H(R+S+L)'!W41="",Moore!U41=""),"",'H(R+S+L)'!W41-Moore!U41)</f>
        <v>-0.005932030508120079</v>
      </c>
      <c r="V41" s="341">
        <f>IF(OR('H(R+S+L)'!X41="N.P.",'H(R+S+L)'!X41="",Moore!V41=""),"",'H(R+S+L)'!X41-Moore!V41)</f>
      </c>
      <c r="W41" s="341">
        <f>IF(OR('H(R+S+L)'!Y41="N.P.",'H(R+S+L)'!Y41="",Moore!W41=""),"",'H(R+S+L)'!Y41-Moore!W41)</f>
      </c>
      <c r="X41" s="341">
        <f>IF(OR('H(R+S+L)'!Z41="N.P.",'H(R+S+L)'!Z41="",Moore!X41=""),"",'H(R+S+L)'!Z41-Moore!X41)</f>
      </c>
      <c r="Y41" s="341">
        <f>IF(OR('H(R+S+L)'!AA41="N.P.",'H(R+S+L)'!AA41="",Moore!Y41=""),"",'H(R+S+L)'!AA41-Moore!Y41)</f>
      </c>
      <c r="Z41" s="341">
        <f>IF(OR('H(R+S+L)'!AB41="N.P.",'H(R+S+L)'!AB41="",Moore!Z41=""),"",'H(R+S+L)'!AB41-Moore!Z41)</f>
      </c>
      <c r="AA41" s="342">
        <f>IF(OR('H(R+S+L)'!AC41="N.P.",'H(R+S+L)'!AC41="",Moore!AA41=""),"",'H(R+S+L)'!AC41-Moore!AA41)</f>
      </c>
      <c r="AB41" s="347">
        <f>IF(OR('H(R+S+L)'!AD41="N.P.",'H(R+S+L)'!AD41="",Moore!AB41=""),"",'H(R+S+L)'!AD41-Moore!AB41)</f>
      </c>
      <c r="AC41" s="341">
        <f>IF(OR('H(R+S+L)'!AE41="N.P.",'H(R+S+L)'!AE41="",Moore!AC41=""),"",'H(R+S+L)'!AE41-Moore!AC41)</f>
      </c>
      <c r="AD41" s="341">
        <f>IF(OR('H(R+S+L)'!AF41="N.P.",'H(R+S+L)'!AF41="",Moore!AD41=""),"",'H(R+S+L)'!AF41-Moore!AD41)</f>
      </c>
      <c r="AE41" s="341">
        <f>IF(OR('H(R+S+L)'!AG41="N.P.",'H(R+S+L)'!AG41="",Moore!AE41=""),"",'H(R+S+L)'!AG41-Moore!AE41)</f>
      </c>
      <c r="AF41" s="341">
        <f>IF(OR('H(R+S+L)'!AH41="N.P.",'H(R+S+L)'!AH41="",Moore!AF41=""),"",'H(R+S+L)'!AH41-Moore!AF41)</f>
      </c>
      <c r="AG41" s="341">
        <f>IF(OR('H(R+S+L)'!AI41="N.P.",'H(R+S+L)'!AI41="",Moore!AG41=""),"",'H(R+S+L)'!AI41-Moore!AG41)</f>
      </c>
      <c r="AH41" s="341">
        <f>IF(OR('H(R+S+L)'!AJ41="N.P.",'H(R+S+L)'!AJ41="",Moore!AH41=""),"",'H(R+S+L)'!AJ41-Moore!AH41)</f>
      </c>
      <c r="AI41" s="341">
        <f>IF(OR('H(R+S+L)'!AK41="N.P.",'H(R+S+L)'!AK41="",Moore!AI41=""),"",'H(R+S+L)'!AK41-Moore!AI41)</f>
      </c>
      <c r="AJ41" s="342">
        <f>IF(OR('H(R+S+L)'!AL41="N.P.",'H(R+S+L)'!AL41="",Moore!AJ41=""),"",'H(R+S+L)'!AL41-Moore!AJ41)</f>
      </c>
      <c r="AK41" s="347">
        <f>IF(OR('H(R+S+L)'!AM41="N.P.",'H(R+S+L)'!AM41="",Moore!AK41=""),"",'H(R+S+L)'!AM41-Moore!AK41)</f>
      </c>
      <c r="AL41" s="341">
        <f>IF(OR('H(R+S+L)'!AN41="N.P.",'H(R+S+L)'!AN41="",Moore!AL41=""),"",'H(R+S+L)'!AN41-Moore!AL41)</f>
      </c>
      <c r="AM41" s="341">
        <f>IF(OR('H(R+S+L)'!AO41="N.P.",'H(R+S+L)'!AO41="",Moore!AM41=""),"",'H(R+S+L)'!AO41-Moore!AM41)</f>
      </c>
      <c r="AN41" s="341">
        <f>IF(OR('H(R+S+L)'!AP41="N.P.",'H(R+S+L)'!AP41="",Moore!AN41=""),"",'H(R+S+L)'!AP41-Moore!AN41)</f>
      </c>
      <c r="AO41" s="341">
        <f>IF(OR('H(R+S+L)'!AQ41="N.P.",'H(R+S+L)'!AQ41="",Moore!AO41=""),"",'H(R+S+L)'!AQ41-Moore!AO41)</f>
      </c>
      <c r="AP41" s="341">
        <f>IF(OR('H(R+S+L)'!AR41="N.P.",'H(R+S+L)'!AR41="",Moore!AP41=""),"",'H(R+S+L)'!AR41-Moore!AP41)</f>
      </c>
      <c r="AQ41" s="341">
        <f>IF(OR('H(R+S+L)'!AS41="N.P.",'H(R+S+L)'!AS41="",Moore!AQ41=""),"",'H(R+S+L)'!AS41-Moore!AQ41)</f>
      </c>
      <c r="AR41" s="341">
        <f>IF(OR('H(R+S+L)'!AT41="N.P.",'H(R+S+L)'!AT41="",Moore!AR41=""),"",'H(R+S+L)'!AT41-Moore!AR41)</f>
      </c>
      <c r="AS41" s="341">
        <f>IF(OR('H(R+S+L)'!AU41="N.P.",'H(R+S+L)'!AU41="",Moore!AS41=""),"",'H(R+S+L)'!AU41-Moore!AS41)</f>
      </c>
      <c r="AT41" s="341">
        <f>IF(OR('H(R+S+L)'!AV41="N.P.",'H(R+S+L)'!AV41="",Moore!AT41=""),"",'H(R+S+L)'!AV41-Moore!AT41)</f>
      </c>
      <c r="AU41" s="342">
        <f>IF(OR('H(R+S+L)'!AW41="N.P.",'H(R+S+L)'!AW41="",Moore!AU41=""),"",'H(R+S+L)'!AW41-Moore!AU41)</f>
      </c>
      <c r="AV41" s="347">
        <f>IF(OR('H(R+S+L)'!AX41="N.P.",'H(R+S+L)'!AX41="",Moore!AV41=""),"",'H(R+S+L)'!AX41-Moore!AV41)</f>
      </c>
      <c r="AW41" s="341">
        <f>IF(OR('H(R+S+L)'!AY41="N.P.",'H(R+S+L)'!AY41="",Moore!AW41=""),"",'H(R+S+L)'!AY41-Moore!AW41)</f>
      </c>
      <c r="AX41" s="341">
        <f>IF(OR('H(R+S+L)'!AZ41="N.P.",'H(R+S+L)'!AZ41="",Moore!AX41=""),"",'H(R+S+L)'!AZ41-Moore!AX41)</f>
      </c>
      <c r="AY41" s="341">
        <f>IF(OR('H(R+S+L)'!BA41="N.P.",'H(R+S+L)'!BA41="",Moore!AY41=""),"",'H(R+S+L)'!BA41-Moore!AY41)</f>
      </c>
      <c r="AZ41" s="341">
        <f>IF(OR('H(R+S+L)'!BB41="N.P.",'H(R+S+L)'!BB41="",Moore!AZ41=""),"",'H(R+S+L)'!BB41-Moore!AZ41)</f>
      </c>
      <c r="BA41" s="341">
        <f>IF(OR('H(R+S+L)'!BC41="N.P.",'H(R+S+L)'!BC41="",Moore!BA41=""),"",'H(R+S+L)'!BC41-Moore!BA41)</f>
      </c>
      <c r="BB41" s="341">
        <f>IF(OR('H(R+S+L)'!BD41="N.P.",'H(R+S+L)'!BD41="",Moore!BB41=""),"",'H(R+S+L)'!BD41-Moore!BB41)</f>
      </c>
      <c r="BC41" s="341">
        <f>IF(OR('H(R+S+L)'!BE41="N.P.",'H(R+S+L)'!BE41="",Moore!BC41=""),"",'H(R+S+L)'!BE41-Moore!BC41)</f>
      </c>
      <c r="BD41" s="341">
        <f>IF(OR('H(R+S+L)'!BF41="N.P.",'H(R+S+L)'!BF41="",Moore!BD41=""),"",'H(R+S+L)'!BF41-Moore!BD41)</f>
      </c>
      <c r="BE41" s="341">
        <f>IF(OR('H(R+S+L)'!BG41="N.P.",'H(R+S+L)'!BG41="",Moore!BE41=""),"",'H(R+S+L)'!BG41-Moore!BE41)</f>
      </c>
      <c r="BF41" s="341">
        <f>IF(OR('H(R+S+L)'!BH41="N.P.",'H(R+S+L)'!BH41="",Moore!BF41=""),"",'H(R+S+L)'!BH41-Moore!BF41)</f>
      </c>
      <c r="BG41" s="341">
        <f>IF(OR('H(R+S+L)'!BI41="N.P.",'H(R+S+L)'!BI41="",Moore!BG41=""),"",'H(R+S+L)'!BI41-Moore!BG41)</f>
      </c>
      <c r="BH41" s="342">
        <f>IF(OR('H(R+S+L)'!BJ41="N.P.",'H(R+S+L)'!BJ41="",Moore!BH41=""),"",'H(R+S+L)'!BJ41-Moore!BH41)</f>
      </c>
    </row>
    <row r="42" spans="7:60" ht="12.75">
      <c r="G42" s="788"/>
      <c r="H42" s="337">
        <f>'H(R+S+L)'!J42*1-Moore!H42</f>
        <v>-0.0021690313005819917</v>
      </c>
      <c r="I42" s="297">
        <v>6</v>
      </c>
      <c r="J42" s="298">
        <v>1.5</v>
      </c>
      <c r="K42" s="296" t="s">
        <v>9</v>
      </c>
      <c r="L42" s="695">
        <f>IF(OR('H(R+S+L)'!N42="N.P.",'H(R+S+L)'!N42="",Moore!L42=""),"",'H(R+S+L)'!N42-Moore!L42)</f>
        <v>4.283923829007108E-05</v>
      </c>
      <c r="M42" s="347">
        <f>IF(OR('H(R+S+L)'!O42="N.P.",'H(R+S+L)'!O42="",Moore!M42=""),"",'H(R+S+L)'!O42-Moore!M42)</f>
        <v>5.254484494798817E-05</v>
      </c>
      <c r="N42" s="341">
        <f>IF(OR('H(R+S+L)'!P42="N.P.",'H(R+S+L)'!P42="",Moore!N42=""),"",'H(R+S+L)'!P42-Moore!N42)</f>
      </c>
      <c r="O42" s="342">
        <f>IF(OR('H(R+S+L)'!Q42="N.P.",'H(R+S+L)'!Q42="",Moore!O42=""),"",'H(R+S+L)'!Q42-Moore!O42)</f>
      </c>
      <c r="P42" s="347">
        <f>IF(OR('H(R+S+L)'!R42="N.P.",'H(R+S+L)'!R42="",Moore!P42=""),"",'H(R+S+L)'!R42-Moore!P42)</f>
        <v>0.003133543652438675</v>
      </c>
      <c r="Q42" s="341">
        <f>IF(OR('H(R+S+L)'!S42="N.P.",'H(R+S+L)'!S42="",Moore!Q42=""),"",'H(R+S+L)'!S42-Moore!Q42)</f>
      </c>
      <c r="R42" s="341">
        <f>IF(OR('H(R+S+L)'!T42="N.P.",'H(R+S+L)'!T42="",Moore!R42=""),"",'H(R+S+L)'!T42-Moore!R42)</f>
      </c>
      <c r="S42" s="341">
        <f>IF(OR('H(R+S+L)'!U42="N.P.",'H(R+S+L)'!U42="",Moore!S42=""),"",'H(R+S+L)'!U42-Moore!S42)</f>
      </c>
      <c r="T42" s="342">
        <f>IF(OR('H(R+S+L)'!V42="N.P.",'H(R+S+L)'!V42="",Moore!T42=""),"",'H(R+S+L)'!V42-Moore!T42)</f>
      </c>
      <c r="U42" s="347">
        <f>IF(OR('H(R+S+L)'!W42="N.P.",'H(R+S+L)'!W42="",Moore!U42=""),"",'H(R+S+L)'!W42-Moore!U42)</f>
        <v>-0.013410047184152063</v>
      </c>
      <c r="V42" s="341">
        <f>IF(OR('H(R+S+L)'!X42="N.P.",'H(R+S+L)'!X42="",Moore!V42=""),"",'H(R+S+L)'!X42-Moore!V42)</f>
      </c>
      <c r="W42" s="341">
        <f>IF(OR('H(R+S+L)'!Y42="N.P.",'H(R+S+L)'!Y42="",Moore!W42=""),"",'H(R+S+L)'!Y42-Moore!W42)</f>
      </c>
      <c r="X42" s="341">
        <f>IF(OR('H(R+S+L)'!Z42="N.P.",'H(R+S+L)'!Z42="",Moore!X42=""),"",'H(R+S+L)'!Z42-Moore!X42)</f>
      </c>
      <c r="Y42" s="341">
        <f>IF(OR('H(R+S+L)'!AA42="N.P.",'H(R+S+L)'!AA42="",Moore!Y42=""),"",'H(R+S+L)'!AA42-Moore!Y42)</f>
      </c>
      <c r="Z42" s="341">
        <f>IF(OR('H(R+S+L)'!AB42="N.P.",'H(R+S+L)'!AB42="",Moore!Z42=""),"",'H(R+S+L)'!AB42-Moore!Z42)</f>
      </c>
      <c r="AA42" s="342">
        <f>IF(OR('H(R+S+L)'!AC42="N.P.",'H(R+S+L)'!AC42="",Moore!AA42=""),"",'H(R+S+L)'!AC42-Moore!AA42)</f>
      </c>
      <c r="AB42" s="347">
        <f>IF(OR('H(R+S+L)'!AD42="N.P.",'H(R+S+L)'!AD42="",Moore!AB42=""),"",'H(R+S+L)'!AD42-Moore!AB42)</f>
      </c>
      <c r="AC42" s="341">
        <f>IF(OR('H(R+S+L)'!AE42="N.P.",'H(R+S+L)'!AE42="",Moore!AC42=""),"",'H(R+S+L)'!AE42-Moore!AC42)</f>
      </c>
      <c r="AD42" s="341">
        <f>IF(OR('H(R+S+L)'!AF42="N.P.",'H(R+S+L)'!AF42="",Moore!AD42=""),"",'H(R+S+L)'!AF42-Moore!AD42)</f>
      </c>
      <c r="AE42" s="341">
        <f>IF(OR('H(R+S+L)'!AG42="N.P.",'H(R+S+L)'!AG42="",Moore!AE42=""),"",'H(R+S+L)'!AG42-Moore!AE42)</f>
      </c>
      <c r="AF42" s="341">
        <f>IF(OR('H(R+S+L)'!AH42="N.P.",'H(R+S+L)'!AH42="",Moore!AF42=""),"",'H(R+S+L)'!AH42-Moore!AF42)</f>
      </c>
      <c r="AG42" s="341">
        <f>IF(OR('H(R+S+L)'!AI42="N.P.",'H(R+S+L)'!AI42="",Moore!AG42=""),"",'H(R+S+L)'!AI42-Moore!AG42)</f>
      </c>
      <c r="AH42" s="341">
        <f>IF(OR('H(R+S+L)'!AJ42="N.P.",'H(R+S+L)'!AJ42="",Moore!AH42=""),"",'H(R+S+L)'!AJ42-Moore!AH42)</f>
      </c>
      <c r="AI42" s="341">
        <f>IF(OR('H(R+S+L)'!AK42="N.P.",'H(R+S+L)'!AK42="",Moore!AI42=""),"",'H(R+S+L)'!AK42-Moore!AI42)</f>
      </c>
      <c r="AJ42" s="342">
        <f>IF(OR('H(R+S+L)'!AL42="N.P.",'H(R+S+L)'!AL42="",Moore!AJ42=""),"",'H(R+S+L)'!AL42-Moore!AJ42)</f>
      </c>
      <c r="AK42" s="347">
        <f>IF(OR('H(R+S+L)'!AM42="N.P.",'H(R+S+L)'!AM42="",Moore!AK42=""),"",'H(R+S+L)'!AM42-Moore!AK42)</f>
      </c>
      <c r="AL42" s="341">
        <f>IF(OR('H(R+S+L)'!AN42="N.P.",'H(R+S+L)'!AN42="",Moore!AL42=""),"",'H(R+S+L)'!AN42-Moore!AL42)</f>
      </c>
      <c r="AM42" s="341">
        <f>IF(OR('H(R+S+L)'!AO42="N.P.",'H(R+S+L)'!AO42="",Moore!AM42=""),"",'H(R+S+L)'!AO42-Moore!AM42)</f>
      </c>
      <c r="AN42" s="341">
        <f>IF(OR('H(R+S+L)'!AP42="N.P.",'H(R+S+L)'!AP42="",Moore!AN42=""),"",'H(R+S+L)'!AP42-Moore!AN42)</f>
      </c>
      <c r="AO42" s="341">
        <f>IF(OR('H(R+S+L)'!AQ42="N.P.",'H(R+S+L)'!AQ42="",Moore!AO42=""),"",'H(R+S+L)'!AQ42-Moore!AO42)</f>
      </c>
      <c r="AP42" s="341">
        <f>IF(OR('H(R+S+L)'!AR42="N.P.",'H(R+S+L)'!AR42="",Moore!AP42=""),"",'H(R+S+L)'!AR42-Moore!AP42)</f>
      </c>
      <c r="AQ42" s="341">
        <f>IF(OR('H(R+S+L)'!AS42="N.P.",'H(R+S+L)'!AS42="",Moore!AQ42=""),"",'H(R+S+L)'!AS42-Moore!AQ42)</f>
      </c>
      <c r="AR42" s="341">
        <f>IF(OR('H(R+S+L)'!AT42="N.P.",'H(R+S+L)'!AT42="",Moore!AR42=""),"",'H(R+S+L)'!AT42-Moore!AR42)</f>
      </c>
      <c r="AS42" s="341">
        <f>IF(OR('H(R+S+L)'!AU42="N.P.",'H(R+S+L)'!AU42="",Moore!AS42=""),"",'H(R+S+L)'!AU42-Moore!AS42)</f>
      </c>
      <c r="AT42" s="341">
        <f>IF(OR('H(R+S+L)'!AV42="N.P.",'H(R+S+L)'!AV42="",Moore!AT42=""),"",'H(R+S+L)'!AV42-Moore!AT42)</f>
      </c>
      <c r="AU42" s="342">
        <f>IF(OR('H(R+S+L)'!AW42="N.P.",'H(R+S+L)'!AW42="",Moore!AU42=""),"",'H(R+S+L)'!AW42-Moore!AU42)</f>
      </c>
      <c r="AV42" s="347">
        <f>IF(OR('H(R+S+L)'!AX42="N.P.",'H(R+S+L)'!AX42="",Moore!AV42=""),"",'H(R+S+L)'!AX42-Moore!AV42)</f>
      </c>
      <c r="AW42" s="341">
        <f>IF(OR('H(R+S+L)'!AY42="N.P.",'H(R+S+L)'!AY42="",Moore!AW42=""),"",'H(R+S+L)'!AY42-Moore!AW42)</f>
      </c>
      <c r="AX42" s="341">
        <f>IF(OR('H(R+S+L)'!AZ42="N.P.",'H(R+S+L)'!AZ42="",Moore!AX42=""),"",'H(R+S+L)'!AZ42-Moore!AX42)</f>
      </c>
      <c r="AY42" s="341">
        <f>IF(OR('H(R+S+L)'!BA42="N.P.",'H(R+S+L)'!BA42="",Moore!AY42=""),"",'H(R+S+L)'!BA42-Moore!AY42)</f>
      </c>
      <c r="AZ42" s="341">
        <f>IF(OR('H(R+S+L)'!BB42="N.P.",'H(R+S+L)'!BB42="",Moore!AZ42=""),"",'H(R+S+L)'!BB42-Moore!AZ42)</f>
      </c>
      <c r="BA42" s="341">
        <f>IF(OR('H(R+S+L)'!BC42="N.P.",'H(R+S+L)'!BC42="",Moore!BA42=""),"",'H(R+S+L)'!BC42-Moore!BA42)</f>
      </c>
      <c r="BB42" s="341">
        <f>IF(OR('H(R+S+L)'!BD42="N.P.",'H(R+S+L)'!BD42="",Moore!BB42=""),"",'H(R+S+L)'!BD42-Moore!BB42)</f>
      </c>
      <c r="BC42" s="341">
        <f>IF(OR('H(R+S+L)'!BE42="N.P.",'H(R+S+L)'!BE42="",Moore!BC42=""),"",'H(R+S+L)'!BE42-Moore!BC42)</f>
      </c>
      <c r="BD42" s="341">
        <f>IF(OR('H(R+S+L)'!BF42="N.P.",'H(R+S+L)'!BF42="",Moore!BD42=""),"",'H(R+S+L)'!BF42-Moore!BD42)</f>
      </c>
      <c r="BE42" s="341">
        <f>IF(OR('H(R+S+L)'!BG42="N.P.",'H(R+S+L)'!BG42="",Moore!BE42=""),"",'H(R+S+L)'!BG42-Moore!BE42)</f>
      </c>
      <c r="BF42" s="341">
        <f>IF(OR('H(R+S+L)'!BH42="N.P.",'H(R+S+L)'!BH42="",Moore!BF42=""),"",'H(R+S+L)'!BH42-Moore!BF42)</f>
      </c>
      <c r="BG42" s="341">
        <f>IF(OR('H(R+S+L)'!BI42="N.P.",'H(R+S+L)'!BI42="",Moore!BG42=""),"",'H(R+S+L)'!BI42-Moore!BG42)</f>
      </c>
      <c r="BH42" s="342">
        <f>IF(OR('H(R+S+L)'!BJ42="N.P.",'H(R+S+L)'!BJ42="",Moore!BH42=""),"",'H(R+S+L)'!BJ42-Moore!BH42)</f>
      </c>
    </row>
    <row r="43" spans="7:60" ht="12.75">
      <c r="G43" s="788"/>
      <c r="H43" s="337">
        <f>'H(R+S+L)'!J43*1-Moore!H43</f>
        <v>-1.9085127860307693E-06</v>
      </c>
      <c r="I43" s="297">
        <v>6</v>
      </c>
      <c r="J43" s="298">
        <v>2.5</v>
      </c>
      <c r="K43" s="296" t="s">
        <v>10</v>
      </c>
      <c r="L43" s="695">
        <f>IF(OR('H(R+S+L)'!N43="N.P.",'H(R+S+L)'!N43="",Moore!L43=""),"",'H(R+S+L)'!N43-Moore!L43)</f>
      </c>
      <c r="M43" s="347">
        <f>IF(OR('H(R+S+L)'!O43="N.P.",'H(R+S+L)'!O43="",Moore!M43=""),"",'H(R+S+L)'!O43-Moore!M43)</f>
      </c>
      <c r="N43" s="341">
        <f>IF(OR('H(R+S+L)'!P43="N.P.",'H(R+S+L)'!P43="",Moore!N43=""),"",'H(R+S+L)'!P43-Moore!N43)</f>
        <v>-0.0018312006559426663</v>
      </c>
      <c r="O43" s="342">
        <f>IF(OR('H(R+S+L)'!Q43="N.P.",'H(R+S+L)'!Q43="",Moore!O43=""),"",'H(R+S+L)'!Q43-Moore!O43)</f>
      </c>
      <c r="P43" s="347">
        <f>IF(OR('H(R+S+L)'!R43="N.P.",'H(R+S+L)'!R43="",Moore!P43=""),"",'H(R+S+L)'!R43-Moore!P43)</f>
      </c>
      <c r="Q43" s="341">
        <f>IF(OR('H(R+S+L)'!S43="N.P.",'H(R+S+L)'!S43="",Moore!Q43=""),"",'H(R+S+L)'!S43-Moore!Q43)</f>
      </c>
      <c r="R43" s="341">
        <f>IF(OR('H(R+S+L)'!T43="N.P.",'H(R+S+L)'!T43="",Moore!R43=""),"",'H(R+S+L)'!T43-Moore!R43)</f>
      </c>
      <c r="S43" s="341">
        <f>IF(OR('H(R+S+L)'!U43="N.P.",'H(R+S+L)'!U43="",Moore!S43=""),"",'H(R+S+L)'!U43-Moore!S43)</f>
      </c>
      <c r="T43" s="342">
        <f>IF(OR('H(R+S+L)'!V43="N.P.",'H(R+S+L)'!V43="",Moore!T43=""),"",'H(R+S+L)'!V43-Moore!T43)</f>
      </c>
      <c r="U43" s="347">
        <f>IF(OR('H(R+S+L)'!W43="N.P.",'H(R+S+L)'!W43="",Moore!U43=""),"",'H(R+S+L)'!W43-Moore!U43)</f>
      </c>
      <c r="V43" s="341">
        <f>IF(OR('H(R+S+L)'!X43="N.P.",'H(R+S+L)'!X43="",Moore!V43=""),"",'H(R+S+L)'!X43-Moore!V43)</f>
      </c>
      <c r="W43" s="341">
        <f>IF(OR('H(R+S+L)'!Y43="N.P.",'H(R+S+L)'!Y43="",Moore!W43=""),"",'H(R+S+L)'!Y43-Moore!W43)</f>
      </c>
      <c r="X43" s="341">
        <f>IF(OR('H(R+S+L)'!Z43="N.P.",'H(R+S+L)'!Z43="",Moore!X43=""),"",'H(R+S+L)'!Z43-Moore!X43)</f>
      </c>
      <c r="Y43" s="341">
        <f>IF(OR('H(R+S+L)'!AA43="N.P.",'H(R+S+L)'!AA43="",Moore!Y43=""),"",'H(R+S+L)'!AA43-Moore!Y43)</f>
      </c>
      <c r="Z43" s="341">
        <f>IF(OR('H(R+S+L)'!AB43="N.P.",'H(R+S+L)'!AB43="",Moore!Z43=""),"",'H(R+S+L)'!AB43-Moore!Z43)</f>
      </c>
      <c r="AA43" s="342">
        <f>IF(OR('H(R+S+L)'!AC43="N.P.",'H(R+S+L)'!AC43="",Moore!AA43=""),"",'H(R+S+L)'!AC43-Moore!AA43)</f>
      </c>
      <c r="AB43" s="347">
        <f>IF(OR('H(R+S+L)'!AD43="N.P.",'H(R+S+L)'!AD43="",Moore!AB43=""),"",'H(R+S+L)'!AD43-Moore!AB43)</f>
      </c>
      <c r="AC43" s="341">
        <f>IF(OR('H(R+S+L)'!AE43="N.P.",'H(R+S+L)'!AE43="",Moore!AC43=""),"",'H(R+S+L)'!AE43-Moore!AC43)</f>
      </c>
      <c r="AD43" s="341">
        <f>IF(OR('H(R+S+L)'!AF43="N.P.",'H(R+S+L)'!AF43="",Moore!AD43=""),"",'H(R+S+L)'!AF43-Moore!AD43)</f>
      </c>
      <c r="AE43" s="341">
        <f>IF(OR('H(R+S+L)'!AG43="N.P.",'H(R+S+L)'!AG43="",Moore!AE43=""),"",'H(R+S+L)'!AG43-Moore!AE43)</f>
      </c>
      <c r="AF43" s="341">
        <f>IF(OR('H(R+S+L)'!AH43="N.P.",'H(R+S+L)'!AH43="",Moore!AF43=""),"",'H(R+S+L)'!AH43-Moore!AF43)</f>
      </c>
      <c r="AG43" s="341">
        <f>IF(OR('H(R+S+L)'!AI43="N.P.",'H(R+S+L)'!AI43="",Moore!AG43=""),"",'H(R+S+L)'!AI43-Moore!AG43)</f>
      </c>
      <c r="AH43" s="341">
        <f>IF(OR('H(R+S+L)'!AJ43="N.P.",'H(R+S+L)'!AJ43="",Moore!AH43=""),"",'H(R+S+L)'!AJ43-Moore!AH43)</f>
      </c>
      <c r="AI43" s="341">
        <f>IF(OR('H(R+S+L)'!AK43="N.P.",'H(R+S+L)'!AK43="",Moore!AI43=""),"",'H(R+S+L)'!AK43-Moore!AI43)</f>
      </c>
      <c r="AJ43" s="342">
        <f>IF(OR('H(R+S+L)'!AL43="N.P.",'H(R+S+L)'!AL43="",Moore!AJ43=""),"",'H(R+S+L)'!AL43-Moore!AJ43)</f>
      </c>
      <c r="AK43" s="347">
        <f>IF(OR('H(R+S+L)'!AM43="N.P.",'H(R+S+L)'!AM43="",Moore!AK43=""),"",'H(R+S+L)'!AM43-Moore!AK43)</f>
      </c>
      <c r="AL43" s="341">
        <f>IF(OR('H(R+S+L)'!AN43="N.P.",'H(R+S+L)'!AN43="",Moore!AL43=""),"",'H(R+S+L)'!AN43-Moore!AL43)</f>
      </c>
      <c r="AM43" s="341">
        <f>IF(OR('H(R+S+L)'!AO43="N.P.",'H(R+S+L)'!AO43="",Moore!AM43=""),"",'H(R+S+L)'!AO43-Moore!AM43)</f>
      </c>
      <c r="AN43" s="341">
        <f>IF(OR('H(R+S+L)'!AP43="N.P.",'H(R+S+L)'!AP43="",Moore!AN43=""),"",'H(R+S+L)'!AP43-Moore!AN43)</f>
      </c>
      <c r="AO43" s="341">
        <f>IF(OR('H(R+S+L)'!AQ43="N.P.",'H(R+S+L)'!AQ43="",Moore!AO43=""),"",'H(R+S+L)'!AQ43-Moore!AO43)</f>
      </c>
      <c r="AP43" s="341">
        <f>IF(OR('H(R+S+L)'!AR43="N.P.",'H(R+S+L)'!AR43="",Moore!AP43=""),"",'H(R+S+L)'!AR43-Moore!AP43)</f>
      </c>
      <c r="AQ43" s="341">
        <f>IF(OR('H(R+S+L)'!AS43="N.P.",'H(R+S+L)'!AS43="",Moore!AQ43=""),"",'H(R+S+L)'!AS43-Moore!AQ43)</f>
      </c>
      <c r="AR43" s="341">
        <f>IF(OR('H(R+S+L)'!AT43="N.P.",'H(R+S+L)'!AT43="",Moore!AR43=""),"",'H(R+S+L)'!AT43-Moore!AR43)</f>
      </c>
      <c r="AS43" s="341">
        <f>IF(OR('H(R+S+L)'!AU43="N.P.",'H(R+S+L)'!AU43="",Moore!AS43=""),"",'H(R+S+L)'!AU43-Moore!AS43)</f>
      </c>
      <c r="AT43" s="341">
        <f>IF(OR('H(R+S+L)'!AV43="N.P.",'H(R+S+L)'!AV43="",Moore!AT43=""),"",'H(R+S+L)'!AV43-Moore!AT43)</f>
      </c>
      <c r="AU43" s="342">
        <f>IF(OR('H(R+S+L)'!AW43="N.P.",'H(R+S+L)'!AW43="",Moore!AU43=""),"",'H(R+S+L)'!AW43-Moore!AU43)</f>
      </c>
      <c r="AV43" s="347">
        <f>IF(OR('H(R+S+L)'!AX43="N.P.",'H(R+S+L)'!AX43="",Moore!AV43=""),"",'H(R+S+L)'!AX43-Moore!AV43)</f>
      </c>
      <c r="AW43" s="341">
        <f>IF(OR('H(R+S+L)'!AY43="N.P.",'H(R+S+L)'!AY43="",Moore!AW43=""),"",'H(R+S+L)'!AY43-Moore!AW43)</f>
      </c>
      <c r="AX43" s="341">
        <f>IF(OR('H(R+S+L)'!AZ43="N.P.",'H(R+S+L)'!AZ43="",Moore!AX43=""),"",'H(R+S+L)'!AZ43-Moore!AX43)</f>
      </c>
      <c r="AY43" s="341">
        <f>IF(OR('H(R+S+L)'!BA43="N.P.",'H(R+S+L)'!BA43="",Moore!AY43=""),"",'H(R+S+L)'!BA43-Moore!AY43)</f>
      </c>
      <c r="AZ43" s="341">
        <f>IF(OR('H(R+S+L)'!BB43="N.P.",'H(R+S+L)'!BB43="",Moore!AZ43=""),"",'H(R+S+L)'!BB43-Moore!AZ43)</f>
      </c>
      <c r="BA43" s="341">
        <f>IF(OR('H(R+S+L)'!BC43="N.P.",'H(R+S+L)'!BC43="",Moore!BA43=""),"",'H(R+S+L)'!BC43-Moore!BA43)</f>
      </c>
      <c r="BB43" s="341">
        <f>IF(OR('H(R+S+L)'!BD43="N.P.",'H(R+S+L)'!BD43="",Moore!BB43=""),"",'H(R+S+L)'!BD43-Moore!BB43)</f>
      </c>
      <c r="BC43" s="341">
        <f>IF(OR('H(R+S+L)'!BE43="N.P.",'H(R+S+L)'!BE43="",Moore!BC43=""),"",'H(R+S+L)'!BE43-Moore!BC43)</f>
      </c>
      <c r="BD43" s="341">
        <f>IF(OR('H(R+S+L)'!BF43="N.P.",'H(R+S+L)'!BF43="",Moore!BD43=""),"",'H(R+S+L)'!BF43-Moore!BD43)</f>
      </c>
      <c r="BE43" s="341">
        <f>IF(OR('H(R+S+L)'!BG43="N.P.",'H(R+S+L)'!BG43="",Moore!BE43=""),"",'H(R+S+L)'!BG43-Moore!BE43)</f>
      </c>
      <c r="BF43" s="341">
        <f>IF(OR('H(R+S+L)'!BH43="N.P.",'H(R+S+L)'!BH43="",Moore!BF43=""),"",'H(R+S+L)'!BH43-Moore!BF43)</f>
      </c>
      <c r="BG43" s="341">
        <f>IF(OR('H(R+S+L)'!BI43="N.P.",'H(R+S+L)'!BI43="",Moore!BG43=""),"",'H(R+S+L)'!BI43-Moore!BG43)</f>
      </c>
      <c r="BH43" s="342">
        <f>IF(OR('H(R+S+L)'!BJ43="N.P.",'H(R+S+L)'!BJ43="",Moore!BH43=""),"",'H(R+S+L)'!BJ43-Moore!BH43)</f>
      </c>
    </row>
    <row r="44" spans="7:60" ht="12.75">
      <c r="G44" s="788"/>
      <c r="H44" s="337">
        <f>'H(R+S+L)'!J44*1-Moore!H44</f>
        <v>-0.0006705283158225939</v>
      </c>
      <c r="I44" s="297">
        <v>6</v>
      </c>
      <c r="J44" s="298">
        <v>2.5</v>
      </c>
      <c r="K44" s="296" t="s">
        <v>11</v>
      </c>
      <c r="L44" s="695">
        <f>IF(OR('H(R+S+L)'!N44="N.P.",'H(R+S+L)'!N44="",Moore!L44=""),"",'H(R+S+L)'!N44-Moore!L44)</f>
      </c>
      <c r="M44" s="347">
        <f>IF(OR('H(R+S+L)'!O44="N.P.",'H(R+S+L)'!O44="",Moore!M44=""),"",'H(R+S+L)'!O44-Moore!M44)</f>
      </c>
      <c r="N44" s="341">
        <f>IF(OR('H(R+S+L)'!P44="N.P.",'H(R+S+L)'!P44="",Moore!N44=""),"",'H(R+S+L)'!P44-Moore!N44)</f>
      </c>
      <c r="O44" s="342">
        <f>IF(OR('H(R+S+L)'!Q44="N.P.",'H(R+S+L)'!Q44="",Moore!O44=""),"",'H(R+S+L)'!Q44-Moore!O44)</f>
        <v>6.57177315588342E-06</v>
      </c>
      <c r="P44" s="347">
        <f>IF(OR('H(R+S+L)'!R44="N.P.",'H(R+S+L)'!R44="",Moore!P44=""),"",'H(R+S+L)'!R44-Moore!P44)</f>
      </c>
      <c r="Q44" s="341">
        <f>IF(OR('H(R+S+L)'!S44="N.P.",'H(R+S+L)'!S44="",Moore!Q44=""),"",'H(R+S+L)'!S44-Moore!Q44)</f>
      </c>
      <c r="R44" s="341">
        <f>IF(OR('H(R+S+L)'!T44="N.P.",'H(R+S+L)'!T44="",Moore!R44=""),"",'H(R+S+L)'!T44-Moore!R44)</f>
      </c>
      <c r="S44" s="341">
        <f>IF(OR('H(R+S+L)'!U44="N.P.",'H(R+S+L)'!U44="",Moore!S44=""),"",'H(R+S+L)'!U44-Moore!S44)</f>
      </c>
      <c r="T44" s="342">
        <f>IF(OR('H(R+S+L)'!V44="N.P.",'H(R+S+L)'!V44="",Moore!T44=""),"",'H(R+S+L)'!V44-Moore!T44)</f>
      </c>
      <c r="U44" s="347">
        <f>IF(OR('H(R+S+L)'!W44="N.P.",'H(R+S+L)'!W44="",Moore!U44=""),"",'H(R+S+L)'!W44-Moore!U44)</f>
      </c>
      <c r="V44" s="341">
        <f>IF(OR('H(R+S+L)'!X44="N.P.",'H(R+S+L)'!X44="",Moore!V44=""),"",'H(R+S+L)'!X44-Moore!V44)</f>
      </c>
      <c r="W44" s="341">
        <f>IF(OR('H(R+S+L)'!Y44="N.P.",'H(R+S+L)'!Y44="",Moore!W44=""),"",'H(R+S+L)'!Y44-Moore!W44)</f>
      </c>
      <c r="X44" s="341">
        <f>IF(OR('H(R+S+L)'!Z44="N.P.",'H(R+S+L)'!Z44="",Moore!X44=""),"",'H(R+S+L)'!Z44-Moore!X44)</f>
      </c>
      <c r="Y44" s="341">
        <f>IF(OR('H(R+S+L)'!AA44="N.P.",'H(R+S+L)'!AA44="",Moore!Y44=""),"",'H(R+S+L)'!AA44-Moore!Y44)</f>
      </c>
      <c r="Z44" s="341">
        <f>IF(OR('H(R+S+L)'!AB44="N.P.",'H(R+S+L)'!AB44="",Moore!Z44=""),"",'H(R+S+L)'!AB44-Moore!Z44)</f>
      </c>
      <c r="AA44" s="342">
        <f>IF(OR('H(R+S+L)'!AC44="N.P.",'H(R+S+L)'!AC44="",Moore!AA44=""),"",'H(R+S+L)'!AC44-Moore!AA44)</f>
      </c>
      <c r="AB44" s="347">
        <f>IF(OR('H(R+S+L)'!AD44="N.P.",'H(R+S+L)'!AD44="",Moore!AB44=""),"",'H(R+S+L)'!AD44-Moore!AB44)</f>
      </c>
      <c r="AC44" s="341">
        <f>IF(OR('H(R+S+L)'!AE44="N.P.",'H(R+S+L)'!AE44="",Moore!AC44=""),"",'H(R+S+L)'!AE44-Moore!AC44)</f>
      </c>
      <c r="AD44" s="341">
        <f>IF(OR('H(R+S+L)'!AF44="N.P.",'H(R+S+L)'!AF44="",Moore!AD44=""),"",'H(R+S+L)'!AF44-Moore!AD44)</f>
      </c>
      <c r="AE44" s="341">
        <f>IF(OR('H(R+S+L)'!AG44="N.P.",'H(R+S+L)'!AG44="",Moore!AE44=""),"",'H(R+S+L)'!AG44-Moore!AE44)</f>
      </c>
      <c r="AF44" s="341">
        <f>IF(OR('H(R+S+L)'!AH44="N.P.",'H(R+S+L)'!AH44="",Moore!AF44=""),"",'H(R+S+L)'!AH44-Moore!AF44)</f>
      </c>
      <c r="AG44" s="341">
        <f>IF(OR('H(R+S+L)'!AI44="N.P.",'H(R+S+L)'!AI44="",Moore!AG44=""),"",'H(R+S+L)'!AI44-Moore!AG44)</f>
      </c>
      <c r="AH44" s="341">
        <f>IF(OR('H(R+S+L)'!AJ44="N.P.",'H(R+S+L)'!AJ44="",Moore!AH44=""),"",'H(R+S+L)'!AJ44-Moore!AH44)</f>
      </c>
      <c r="AI44" s="341">
        <f>IF(OR('H(R+S+L)'!AK44="N.P.",'H(R+S+L)'!AK44="",Moore!AI44=""),"",'H(R+S+L)'!AK44-Moore!AI44)</f>
      </c>
      <c r="AJ44" s="342">
        <f>IF(OR('H(R+S+L)'!AL44="N.P.",'H(R+S+L)'!AL44="",Moore!AJ44=""),"",'H(R+S+L)'!AL44-Moore!AJ44)</f>
      </c>
      <c r="AK44" s="347">
        <f>IF(OR('H(R+S+L)'!AM44="N.P.",'H(R+S+L)'!AM44="",Moore!AK44=""),"",'H(R+S+L)'!AM44-Moore!AK44)</f>
      </c>
      <c r="AL44" s="341">
        <f>IF(OR('H(R+S+L)'!AN44="N.P.",'H(R+S+L)'!AN44="",Moore!AL44=""),"",'H(R+S+L)'!AN44-Moore!AL44)</f>
      </c>
      <c r="AM44" s="341">
        <f>IF(OR('H(R+S+L)'!AO44="N.P.",'H(R+S+L)'!AO44="",Moore!AM44=""),"",'H(R+S+L)'!AO44-Moore!AM44)</f>
      </c>
      <c r="AN44" s="341">
        <f>IF(OR('H(R+S+L)'!AP44="N.P.",'H(R+S+L)'!AP44="",Moore!AN44=""),"",'H(R+S+L)'!AP44-Moore!AN44)</f>
      </c>
      <c r="AO44" s="341">
        <f>IF(OR('H(R+S+L)'!AQ44="N.P.",'H(R+S+L)'!AQ44="",Moore!AO44=""),"",'H(R+S+L)'!AQ44-Moore!AO44)</f>
      </c>
      <c r="AP44" s="341">
        <f>IF(OR('H(R+S+L)'!AR44="N.P.",'H(R+S+L)'!AR44="",Moore!AP44=""),"",'H(R+S+L)'!AR44-Moore!AP44)</f>
      </c>
      <c r="AQ44" s="341">
        <f>IF(OR('H(R+S+L)'!AS44="N.P.",'H(R+S+L)'!AS44="",Moore!AQ44=""),"",'H(R+S+L)'!AS44-Moore!AQ44)</f>
      </c>
      <c r="AR44" s="341">
        <f>IF(OR('H(R+S+L)'!AT44="N.P.",'H(R+S+L)'!AT44="",Moore!AR44=""),"",'H(R+S+L)'!AT44-Moore!AR44)</f>
      </c>
      <c r="AS44" s="341">
        <f>IF(OR('H(R+S+L)'!AU44="N.P.",'H(R+S+L)'!AU44="",Moore!AS44=""),"",'H(R+S+L)'!AU44-Moore!AS44)</f>
      </c>
      <c r="AT44" s="341">
        <f>IF(OR('H(R+S+L)'!AV44="N.P.",'H(R+S+L)'!AV44="",Moore!AT44=""),"",'H(R+S+L)'!AV44-Moore!AT44)</f>
      </c>
      <c r="AU44" s="342">
        <f>IF(OR('H(R+S+L)'!AW44="N.P.",'H(R+S+L)'!AW44="",Moore!AU44=""),"",'H(R+S+L)'!AW44-Moore!AU44)</f>
      </c>
      <c r="AV44" s="347">
        <f>IF(OR('H(R+S+L)'!AX44="N.P.",'H(R+S+L)'!AX44="",Moore!AV44=""),"",'H(R+S+L)'!AX44-Moore!AV44)</f>
      </c>
      <c r="AW44" s="341">
        <f>IF(OR('H(R+S+L)'!AY44="N.P.",'H(R+S+L)'!AY44="",Moore!AW44=""),"",'H(R+S+L)'!AY44-Moore!AW44)</f>
      </c>
      <c r="AX44" s="341">
        <f>IF(OR('H(R+S+L)'!AZ44="N.P.",'H(R+S+L)'!AZ44="",Moore!AX44=""),"",'H(R+S+L)'!AZ44-Moore!AX44)</f>
      </c>
      <c r="AY44" s="341">
        <f>IF(OR('H(R+S+L)'!BA44="N.P.",'H(R+S+L)'!BA44="",Moore!AY44=""),"",'H(R+S+L)'!BA44-Moore!AY44)</f>
      </c>
      <c r="AZ44" s="341">
        <f>IF(OR('H(R+S+L)'!BB44="N.P.",'H(R+S+L)'!BB44="",Moore!AZ44=""),"",'H(R+S+L)'!BB44-Moore!AZ44)</f>
      </c>
      <c r="BA44" s="341">
        <f>IF(OR('H(R+S+L)'!BC44="N.P.",'H(R+S+L)'!BC44="",Moore!BA44=""),"",'H(R+S+L)'!BC44-Moore!BA44)</f>
      </c>
      <c r="BB44" s="341">
        <f>IF(OR('H(R+S+L)'!BD44="N.P.",'H(R+S+L)'!BD44="",Moore!BB44=""),"",'H(R+S+L)'!BD44-Moore!BB44)</f>
      </c>
      <c r="BC44" s="341">
        <f>IF(OR('H(R+S+L)'!BE44="N.P.",'H(R+S+L)'!BE44="",Moore!BC44=""),"",'H(R+S+L)'!BE44-Moore!BC44)</f>
      </c>
      <c r="BD44" s="341">
        <f>IF(OR('H(R+S+L)'!BF44="N.P.",'H(R+S+L)'!BF44="",Moore!BD44=""),"",'H(R+S+L)'!BF44-Moore!BD44)</f>
      </c>
      <c r="BE44" s="341">
        <f>IF(OR('H(R+S+L)'!BG44="N.P.",'H(R+S+L)'!BG44="",Moore!BE44=""),"",'H(R+S+L)'!BG44-Moore!BE44)</f>
      </c>
      <c r="BF44" s="341">
        <f>IF(OR('H(R+S+L)'!BH44="N.P.",'H(R+S+L)'!BH44="",Moore!BF44=""),"",'H(R+S+L)'!BH44-Moore!BF44)</f>
      </c>
      <c r="BG44" s="341">
        <f>IF(OR('H(R+S+L)'!BI44="N.P.",'H(R+S+L)'!BI44="",Moore!BG44=""),"",'H(R+S+L)'!BI44-Moore!BG44)</f>
      </c>
      <c r="BH44" s="342">
        <f>IF(OR('H(R+S+L)'!BJ44="N.P.",'H(R+S+L)'!BJ44="",Moore!BH44=""),"",'H(R+S+L)'!BJ44-Moore!BH44)</f>
      </c>
    </row>
    <row r="45" spans="7:60" ht="12.75">
      <c r="G45" s="788"/>
      <c r="H45" s="337">
        <f>'H(R+S+L)'!J45*1-Moore!H45</f>
        <v>-0.0006384106236509979</v>
      </c>
      <c r="I45" s="297">
        <v>6</v>
      </c>
      <c r="J45" s="298">
        <v>3.5</v>
      </c>
      <c r="K45" s="296" t="s">
        <v>12</v>
      </c>
      <c r="L45" s="695">
        <f>IF(OR('H(R+S+L)'!N45="N.P.",'H(R+S+L)'!N45="",Moore!L45=""),"",'H(R+S+L)'!N45-Moore!L45)</f>
      </c>
      <c r="M45" s="347">
        <f>IF(OR('H(R+S+L)'!O45="N.P.",'H(R+S+L)'!O45="",Moore!M45=""),"",'H(R+S+L)'!O45-Moore!M45)</f>
      </c>
      <c r="N45" s="341">
        <f>IF(OR('H(R+S+L)'!P45="N.P.",'H(R+S+L)'!P45="",Moore!N45=""),"",'H(R+S+L)'!P45-Moore!N45)</f>
      </c>
      <c r="O45" s="342">
        <f>IF(OR('H(R+S+L)'!Q45="N.P.",'H(R+S+L)'!Q45="",Moore!O45=""),"",'H(R+S+L)'!Q45-Moore!O45)</f>
      </c>
      <c r="P45" s="347">
        <f>IF(OR('H(R+S+L)'!R45="N.P.",'H(R+S+L)'!R45="",Moore!P45=""),"",'H(R+S+L)'!R45-Moore!P45)</f>
      </c>
      <c r="Q45" s="341">
        <f>IF(OR('H(R+S+L)'!S45="N.P.",'H(R+S+L)'!S45="",Moore!Q45=""),"",'H(R+S+L)'!S45-Moore!Q45)</f>
      </c>
      <c r="R45" s="341">
        <f>IF(OR('H(R+S+L)'!T45="N.P.",'H(R+S+L)'!T45="",Moore!R45=""),"",'H(R+S+L)'!T45-Moore!R45)</f>
      </c>
      <c r="S45" s="341">
        <f>IF(OR('H(R+S+L)'!U45="N.P.",'H(R+S+L)'!U45="",Moore!S45=""),"",'H(R+S+L)'!U45-Moore!S45)</f>
        <v>0.052573599759853096</v>
      </c>
      <c r="T45" s="342">
        <f>IF(OR('H(R+S+L)'!V45="N.P.",'H(R+S+L)'!V45="",Moore!T45=""),"",'H(R+S+L)'!V45-Moore!T45)</f>
      </c>
      <c r="U45" s="347">
        <f>IF(OR('H(R+S+L)'!W45="N.P.",'H(R+S+L)'!W45="",Moore!U45=""),"",'H(R+S+L)'!W45-Moore!U45)</f>
      </c>
      <c r="V45" s="341">
        <f>IF(OR('H(R+S+L)'!X45="N.P.",'H(R+S+L)'!X45="",Moore!V45=""),"",'H(R+S+L)'!X45-Moore!V45)</f>
      </c>
      <c r="W45" s="341">
        <f>IF(OR('H(R+S+L)'!Y45="N.P.",'H(R+S+L)'!Y45="",Moore!W45=""),"",'H(R+S+L)'!Y45-Moore!W45)</f>
      </c>
      <c r="X45" s="341">
        <f>IF(OR('H(R+S+L)'!Z45="N.P.",'H(R+S+L)'!Z45="",Moore!X45=""),"",'H(R+S+L)'!Z45-Moore!X45)</f>
      </c>
      <c r="Y45" s="341">
        <f>IF(OR('H(R+S+L)'!AA45="N.P.",'H(R+S+L)'!AA45="",Moore!Y45=""),"",'H(R+S+L)'!AA45-Moore!Y45)</f>
      </c>
      <c r="Z45" s="341">
        <f>IF(OR('H(R+S+L)'!AB45="N.P.",'H(R+S+L)'!AB45="",Moore!Z45=""),"",'H(R+S+L)'!AB45-Moore!Z45)</f>
      </c>
      <c r="AA45" s="342">
        <f>IF(OR('H(R+S+L)'!AC45="N.P.",'H(R+S+L)'!AC45="",Moore!AA45=""),"",'H(R+S+L)'!AC45-Moore!AA45)</f>
      </c>
      <c r="AB45" s="347">
        <f>IF(OR('H(R+S+L)'!AD45="N.P.",'H(R+S+L)'!AD45="",Moore!AB45=""),"",'H(R+S+L)'!AD45-Moore!AB45)</f>
      </c>
      <c r="AC45" s="341">
        <f>IF(OR('H(R+S+L)'!AE45="N.P.",'H(R+S+L)'!AE45="",Moore!AC45=""),"",'H(R+S+L)'!AE45-Moore!AC45)</f>
      </c>
      <c r="AD45" s="341">
        <f>IF(OR('H(R+S+L)'!AF45="N.P.",'H(R+S+L)'!AF45="",Moore!AD45=""),"",'H(R+S+L)'!AF45-Moore!AD45)</f>
      </c>
      <c r="AE45" s="341">
        <f>IF(OR('H(R+S+L)'!AG45="N.P.",'H(R+S+L)'!AG45="",Moore!AE45=""),"",'H(R+S+L)'!AG45-Moore!AE45)</f>
      </c>
      <c r="AF45" s="341">
        <f>IF(OR('H(R+S+L)'!AH45="N.P.",'H(R+S+L)'!AH45="",Moore!AF45=""),"",'H(R+S+L)'!AH45-Moore!AF45)</f>
      </c>
      <c r="AG45" s="341">
        <f>IF(OR('H(R+S+L)'!AI45="N.P.",'H(R+S+L)'!AI45="",Moore!AG45=""),"",'H(R+S+L)'!AI45-Moore!AG45)</f>
      </c>
      <c r="AH45" s="341">
        <f>IF(OR('H(R+S+L)'!AJ45="N.P.",'H(R+S+L)'!AJ45="",Moore!AH45=""),"",'H(R+S+L)'!AJ45-Moore!AH45)</f>
      </c>
      <c r="AI45" s="341">
        <f>IF(OR('H(R+S+L)'!AK45="N.P.",'H(R+S+L)'!AK45="",Moore!AI45=""),"",'H(R+S+L)'!AK45-Moore!AI45)</f>
      </c>
      <c r="AJ45" s="342">
        <f>IF(OR('H(R+S+L)'!AL45="N.P.",'H(R+S+L)'!AL45="",Moore!AJ45=""),"",'H(R+S+L)'!AL45-Moore!AJ45)</f>
      </c>
      <c r="AK45" s="347">
        <f>IF(OR('H(R+S+L)'!AM45="N.P.",'H(R+S+L)'!AM45="",Moore!AK45=""),"",'H(R+S+L)'!AM45-Moore!AK45)</f>
      </c>
      <c r="AL45" s="341">
        <f>IF(OR('H(R+S+L)'!AN45="N.P.",'H(R+S+L)'!AN45="",Moore!AL45=""),"",'H(R+S+L)'!AN45-Moore!AL45)</f>
      </c>
      <c r="AM45" s="341">
        <f>IF(OR('H(R+S+L)'!AO45="N.P.",'H(R+S+L)'!AO45="",Moore!AM45=""),"",'H(R+S+L)'!AO45-Moore!AM45)</f>
      </c>
      <c r="AN45" s="341">
        <f>IF(OR('H(R+S+L)'!AP45="N.P.",'H(R+S+L)'!AP45="",Moore!AN45=""),"",'H(R+S+L)'!AP45-Moore!AN45)</f>
      </c>
      <c r="AO45" s="341">
        <f>IF(OR('H(R+S+L)'!AQ45="N.P.",'H(R+S+L)'!AQ45="",Moore!AO45=""),"",'H(R+S+L)'!AQ45-Moore!AO45)</f>
      </c>
      <c r="AP45" s="341">
        <f>IF(OR('H(R+S+L)'!AR45="N.P.",'H(R+S+L)'!AR45="",Moore!AP45=""),"",'H(R+S+L)'!AR45-Moore!AP45)</f>
      </c>
      <c r="AQ45" s="341">
        <f>IF(OR('H(R+S+L)'!AS45="N.P.",'H(R+S+L)'!AS45="",Moore!AQ45=""),"",'H(R+S+L)'!AS45-Moore!AQ45)</f>
      </c>
      <c r="AR45" s="341">
        <f>IF(OR('H(R+S+L)'!AT45="N.P.",'H(R+S+L)'!AT45="",Moore!AR45=""),"",'H(R+S+L)'!AT45-Moore!AR45)</f>
      </c>
      <c r="AS45" s="341">
        <f>IF(OR('H(R+S+L)'!AU45="N.P.",'H(R+S+L)'!AU45="",Moore!AS45=""),"",'H(R+S+L)'!AU45-Moore!AS45)</f>
      </c>
      <c r="AT45" s="341">
        <f>IF(OR('H(R+S+L)'!AV45="N.P.",'H(R+S+L)'!AV45="",Moore!AT45=""),"",'H(R+S+L)'!AV45-Moore!AT45)</f>
      </c>
      <c r="AU45" s="342">
        <f>IF(OR('H(R+S+L)'!AW45="N.P.",'H(R+S+L)'!AW45="",Moore!AU45=""),"",'H(R+S+L)'!AW45-Moore!AU45)</f>
      </c>
      <c r="AV45" s="347">
        <f>IF(OR('H(R+S+L)'!AX45="N.P.",'H(R+S+L)'!AX45="",Moore!AV45=""),"",'H(R+S+L)'!AX45-Moore!AV45)</f>
      </c>
      <c r="AW45" s="341">
        <f>IF(OR('H(R+S+L)'!AY45="N.P.",'H(R+S+L)'!AY45="",Moore!AW45=""),"",'H(R+S+L)'!AY45-Moore!AW45)</f>
      </c>
      <c r="AX45" s="341">
        <f>IF(OR('H(R+S+L)'!AZ45="N.P.",'H(R+S+L)'!AZ45="",Moore!AX45=""),"",'H(R+S+L)'!AZ45-Moore!AX45)</f>
      </c>
      <c r="AY45" s="341">
        <f>IF(OR('H(R+S+L)'!BA45="N.P.",'H(R+S+L)'!BA45="",Moore!AY45=""),"",'H(R+S+L)'!BA45-Moore!AY45)</f>
      </c>
      <c r="AZ45" s="341">
        <f>IF(OR('H(R+S+L)'!BB45="N.P.",'H(R+S+L)'!BB45="",Moore!AZ45=""),"",'H(R+S+L)'!BB45-Moore!AZ45)</f>
      </c>
      <c r="BA45" s="341">
        <f>IF(OR('H(R+S+L)'!BC45="N.P.",'H(R+S+L)'!BC45="",Moore!BA45=""),"",'H(R+S+L)'!BC45-Moore!BA45)</f>
      </c>
      <c r="BB45" s="341">
        <f>IF(OR('H(R+S+L)'!BD45="N.P.",'H(R+S+L)'!BD45="",Moore!BB45=""),"",'H(R+S+L)'!BD45-Moore!BB45)</f>
      </c>
      <c r="BC45" s="341">
        <f>IF(OR('H(R+S+L)'!BE45="N.P.",'H(R+S+L)'!BE45="",Moore!BC45=""),"",'H(R+S+L)'!BE45-Moore!BC45)</f>
      </c>
      <c r="BD45" s="341">
        <f>IF(OR('H(R+S+L)'!BF45="N.P.",'H(R+S+L)'!BF45="",Moore!BD45=""),"",'H(R+S+L)'!BF45-Moore!BD45)</f>
      </c>
      <c r="BE45" s="341">
        <f>IF(OR('H(R+S+L)'!BG45="N.P.",'H(R+S+L)'!BG45="",Moore!BE45=""),"",'H(R+S+L)'!BG45-Moore!BE45)</f>
      </c>
      <c r="BF45" s="341">
        <f>IF(OR('H(R+S+L)'!BH45="N.P.",'H(R+S+L)'!BH45="",Moore!BF45=""),"",'H(R+S+L)'!BH45-Moore!BF45)</f>
      </c>
      <c r="BG45" s="341">
        <f>IF(OR('H(R+S+L)'!BI45="N.P.",'H(R+S+L)'!BI45="",Moore!BG45=""),"",'H(R+S+L)'!BI45-Moore!BG45)</f>
      </c>
      <c r="BH45" s="342">
        <f>IF(OR('H(R+S+L)'!BJ45="N.P.",'H(R+S+L)'!BJ45="",Moore!BH45=""),"",'H(R+S+L)'!BJ45-Moore!BH45)</f>
      </c>
    </row>
    <row r="46" spans="7:60" ht="12.75">
      <c r="G46" s="788"/>
      <c r="H46" s="337">
        <f>'H(R+S+L)'!J46*1-Moore!H46</f>
        <v>-0.00013395356654655188</v>
      </c>
      <c r="I46" s="297">
        <v>6</v>
      </c>
      <c r="J46" s="298">
        <v>3.5</v>
      </c>
      <c r="K46" s="296" t="s">
        <v>13</v>
      </c>
      <c r="L46" s="695">
        <f>IF(OR('H(R+S+L)'!N46="N.P.",'H(R+S+L)'!N46="",Moore!L46=""),"",'H(R+S+L)'!N46-Moore!L46)</f>
      </c>
      <c r="M46" s="347">
        <f>IF(OR('H(R+S+L)'!O46="N.P.",'H(R+S+L)'!O46="",Moore!M46=""),"",'H(R+S+L)'!O46-Moore!M46)</f>
      </c>
      <c r="N46" s="341">
        <f>IF(OR('H(R+S+L)'!P46="N.P.",'H(R+S+L)'!P46="",Moore!N46=""),"",'H(R+S+L)'!P46-Moore!N46)</f>
      </c>
      <c r="O46" s="342">
        <f>IF(OR('H(R+S+L)'!Q46="N.P.",'H(R+S+L)'!Q46="",Moore!O46=""),"",'H(R+S+L)'!Q46-Moore!O46)</f>
      </c>
      <c r="P46" s="347">
        <f>IF(OR('H(R+S+L)'!R46="N.P.",'H(R+S+L)'!R46="",Moore!P46=""),"",'H(R+S+L)'!R46-Moore!P46)</f>
      </c>
      <c r="Q46" s="341">
        <f>IF(OR('H(R+S+L)'!S46="N.P.",'H(R+S+L)'!S46="",Moore!Q46=""),"",'H(R+S+L)'!S46-Moore!Q46)</f>
      </c>
      <c r="R46" s="341">
        <f>IF(OR('H(R+S+L)'!T46="N.P.",'H(R+S+L)'!T46="",Moore!R46=""),"",'H(R+S+L)'!T46-Moore!R46)</f>
      </c>
      <c r="S46" s="341">
        <f>IF(OR('H(R+S+L)'!U46="N.P.",'H(R+S+L)'!U46="",Moore!S46=""),"",'H(R+S+L)'!U46-Moore!S46)</f>
      </c>
      <c r="T46" s="342">
        <f>IF(OR('H(R+S+L)'!V46="N.P.",'H(R+S+L)'!V46="",Moore!T46=""),"",'H(R+S+L)'!V46-Moore!T46)</f>
      </c>
      <c r="U46" s="347">
        <f>IF(OR('H(R+S+L)'!W46="N.P.",'H(R+S+L)'!W46="",Moore!U46=""),"",'H(R+S+L)'!W46-Moore!U46)</f>
      </c>
      <c r="V46" s="341">
        <f>IF(OR('H(R+S+L)'!X46="N.P.",'H(R+S+L)'!X46="",Moore!V46=""),"",'H(R+S+L)'!X46-Moore!V46)</f>
      </c>
      <c r="W46" s="341">
        <f>IF(OR('H(R+S+L)'!Y46="N.P.",'H(R+S+L)'!Y46="",Moore!W46=""),"",'H(R+S+L)'!Y46-Moore!W46)</f>
      </c>
      <c r="X46" s="341">
        <f>IF(OR('H(R+S+L)'!Z46="N.P.",'H(R+S+L)'!Z46="",Moore!X46=""),"",'H(R+S+L)'!Z46-Moore!X46)</f>
      </c>
      <c r="Y46" s="341">
        <f>IF(OR('H(R+S+L)'!AA46="N.P.",'H(R+S+L)'!AA46="",Moore!Y46=""),"",'H(R+S+L)'!AA46-Moore!Y46)</f>
      </c>
      <c r="Z46" s="341">
        <f>IF(OR('H(R+S+L)'!AB46="N.P.",'H(R+S+L)'!AB46="",Moore!Z46=""),"",'H(R+S+L)'!AB46-Moore!Z46)</f>
      </c>
      <c r="AA46" s="342">
        <f>IF(OR('H(R+S+L)'!AC46="N.P.",'H(R+S+L)'!AC46="",Moore!AA46=""),"",'H(R+S+L)'!AC46-Moore!AA46)</f>
      </c>
      <c r="AB46" s="347">
        <f>IF(OR('H(R+S+L)'!AD46="N.P.",'H(R+S+L)'!AD46="",Moore!AB46=""),"",'H(R+S+L)'!AD46-Moore!AB46)</f>
      </c>
      <c r="AC46" s="341">
        <f>IF(OR('H(R+S+L)'!AE46="N.P.",'H(R+S+L)'!AE46="",Moore!AC46=""),"",'H(R+S+L)'!AE46-Moore!AC46)</f>
      </c>
      <c r="AD46" s="341">
        <f>IF(OR('H(R+S+L)'!AF46="N.P.",'H(R+S+L)'!AF46="",Moore!AD46=""),"",'H(R+S+L)'!AF46-Moore!AD46)</f>
      </c>
      <c r="AE46" s="341">
        <f>IF(OR('H(R+S+L)'!AG46="N.P.",'H(R+S+L)'!AG46="",Moore!AE46=""),"",'H(R+S+L)'!AG46-Moore!AE46)</f>
      </c>
      <c r="AF46" s="341">
        <f>IF(OR('H(R+S+L)'!AH46="N.P.",'H(R+S+L)'!AH46="",Moore!AF46=""),"",'H(R+S+L)'!AH46-Moore!AF46)</f>
      </c>
      <c r="AG46" s="341">
        <f>IF(OR('H(R+S+L)'!AI46="N.P.",'H(R+S+L)'!AI46="",Moore!AG46=""),"",'H(R+S+L)'!AI46-Moore!AG46)</f>
      </c>
      <c r="AH46" s="341">
        <f>IF(OR('H(R+S+L)'!AJ46="N.P.",'H(R+S+L)'!AJ46="",Moore!AH46=""),"",'H(R+S+L)'!AJ46-Moore!AH46)</f>
      </c>
      <c r="AI46" s="341">
        <f>IF(OR('H(R+S+L)'!AK46="N.P.",'H(R+S+L)'!AK46="",Moore!AI46=""),"",'H(R+S+L)'!AK46-Moore!AI46)</f>
      </c>
      <c r="AJ46" s="342">
        <f>IF(OR('H(R+S+L)'!AL46="N.P.",'H(R+S+L)'!AL46="",Moore!AJ46=""),"",'H(R+S+L)'!AL46-Moore!AJ46)</f>
      </c>
      <c r="AK46" s="347">
        <f>IF(OR('H(R+S+L)'!AM46="N.P.",'H(R+S+L)'!AM46="",Moore!AK46=""),"",'H(R+S+L)'!AM46-Moore!AK46)</f>
      </c>
      <c r="AL46" s="341">
        <f>IF(OR('H(R+S+L)'!AN46="N.P.",'H(R+S+L)'!AN46="",Moore!AL46=""),"",'H(R+S+L)'!AN46-Moore!AL46)</f>
      </c>
      <c r="AM46" s="341">
        <f>IF(OR('H(R+S+L)'!AO46="N.P.",'H(R+S+L)'!AO46="",Moore!AM46=""),"",'H(R+S+L)'!AO46-Moore!AM46)</f>
      </c>
      <c r="AN46" s="341">
        <f>IF(OR('H(R+S+L)'!AP46="N.P.",'H(R+S+L)'!AP46="",Moore!AN46=""),"",'H(R+S+L)'!AP46-Moore!AN46)</f>
      </c>
      <c r="AO46" s="341">
        <f>IF(OR('H(R+S+L)'!AQ46="N.P.",'H(R+S+L)'!AQ46="",Moore!AO46=""),"",'H(R+S+L)'!AQ46-Moore!AO46)</f>
      </c>
      <c r="AP46" s="341">
        <f>IF(OR('H(R+S+L)'!AR46="N.P.",'H(R+S+L)'!AR46="",Moore!AP46=""),"",'H(R+S+L)'!AR46-Moore!AP46)</f>
      </c>
      <c r="AQ46" s="341">
        <f>IF(OR('H(R+S+L)'!AS46="N.P.",'H(R+S+L)'!AS46="",Moore!AQ46=""),"",'H(R+S+L)'!AS46-Moore!AQ46)</f>
      </c>
      <c r="AR46" s="341">
        <f>IF(OR('H(R+S+L)'!AT46="N.P.",'H(R+S+L)'!AT46="",Moore!AR46=""),"",'H(R+S+L)'!AT46-Moore!AR46)</f>
      </c>
      <c r="AS46" s="341">
        <f>IF(OR('H(R+S+L)'!AU46="N.P.",'H(R+S+L)'!AU46="",Moore!AS46=""),"",'H(R+S+L)'!AU46-Moore!AS46)</f>
      </c>
      <c r="AT46" s="341">
        <f>IF(OR('H(R+S+L)'!AV46="N.P.",'H(R+S+L)'!AV46="",Moore!AT46=""),"",'H(R+S+L)'!AV46-Moore!AT46)</f>
      </c>
      <c r="AU46" s="342">
        <f>IF(OR('H(R+S+L)'!AW46="N.P.",'H(R+S+L)'!AW46="",Moore!AU46=""),"",'H(R+S+L)'!AW46-Moore!AU46)</f>
      </c>
      <c r="AV46" s="347">
        <f>IF(OR('H(R+S+L)'!AX46="N.P.",'H(R+S+L)'!AX46="",Moore!AV46=""),"",'H(R+S+L)'!AX46-Moore!AV46)</f>
      </c>
      <c r="AW46" s="341">
        <f>IF(OR('H(R+S+L)'!AY46="N.P.",'H(R+S+L)'!AY46="",Moore!AW46=""),"",'H(R+S+L)'!AY46-Moore!AW46)</f>
      </c>
      <c r="AX46" s="341">
        <f>IF(OR('H(R+S+L)'!AZ46="N.P.",'H(R+S+L)'!AZ46="",Moore!AX46=""),"",'H(R+S+L)'!AZ46-Moore!AX46)</f>
      </c>
      <c r="AY46" s="341">
        <f>IF(OR('H(R+S+L)'!BA46="N.P.",'H(R+S+L)'!BA46="",Moore!AY46=""),"",'H(R+S+L)'!BA46-Moore!AY46)</f>
      </c>
      <c r="AZ46" s="341">
        <f>IF(OR('H(R+S+L)'!BB46="N.P.",'H(R+S+L)'!BB46="",Moore!AZ46=""),"",'H(R+S+L)'!BB46-Moore!AZ46)</f>
      </c>
      <c r="BA46" s="341">
        <f>IF(OR('H(R+S+L)'!BC46="N.P.",'H(R+S+L)'!BC46="",Moore!BA46=""),"",'H(R+S+L)'!BC46-Moore!BA46)</f>
      </c>
      <c r="BB46" s="341">
        <f>IF(OR('H(R+S+L)'!BD46="N.P.",'H(R+S+L)'!BD46="",Moore!BB46=""),"",'H(R+S+L)'!BD46-Moore!BB46)</f>
      </c>
      <c r="BC46" s="341">
        <f>IF(OR('H(R+S+L)'!BE46="N.P.",'H(R+S+L)'!BE46="",Moore!BC46=""),"",'H(R+S+L)'!BE46-Moore!BC46)</f>
      </c>
      <c r="BD46" s="341">
        <f>IF(OR('H(R+S+L)'!BF46="N.P.",'H(R+S+L)'!BF46="",Moore!BD46=""),"",'H(R+S+L)'!BF46-Moore!BD46)</f>
      </c>
      <c r="BE46" s="341">
        <f>IF(OR('H(R+S+L)'!BG46="N.P.",'H(R+S+L)'!BG46="",Moore!BE46=""),"",'H(R+S+L)'!BG46-Moore!BE46)</f>
      </c>
      <c r="BF46" s="341">
        <f>IF(OR('H(R+S+L)'!BH46="N.P.",'H(R+S+L)'!BH46="",Moore!BF46=""),"",'H(R+S+L)'!BH46-Moore!BF46)</f>
      </c>
      <c r="BG46" s="341">
        <f>IF(OR('H(R+S+L)'!BI46="N.P.",'H(R+S+L)'!BI46="",Moore!BG46=""),"",'H(R+S+L)'!BI46-Moore!BG46)</f>
      </c>
      <c r="BH46" s="342">
        <f>IF(OR('H(R+S+L)'!BJ46="N.P.",'H(R+S+L)'!BJ46="",Moore!BH46=""),"",'H(R+S+L)'!BJ46-Moore!BH46)</f>
      </c>
    </row>
    <row r="47" spans="7:60" ht="12.75">
      <c r="G47" s="788"/>
      <c r="H47" s="337">
        <f>'H(R+S+L)'!J47*1-Moore!H47</f>
        <v>-0.00030635824077762663</v>
      </c>
      <c r="I47" s="297">
        <v>6</v>
      </c>
      <c r="J47" s="298">
        <v>4.5</v>
      </c>
      <c r="K47" s="296" t="s">
        <v>14</v>
      </c>
      <c r="L47" s="695">
        <f>IF(OR('H(R+S+L)'!N47="N.P.",'H(R+S+L)'!N47="",Moore!L47=""),"",'H(R+S+L)'!N47-Moore!L47)</f>
      </c>
      <c r="M47" s="347">
        <f>IF(OR('H(R+S+L)'!O47="N.P.",'H(R+S+L)'!O47="",Moore!M47=""),"",'H(R+S+L)'!O47-Moore!M47)</f>
      </c>
      <c r="N47" s="341">
        <f>IF(OR('H(R+S+L)'!P47="N.P.",'H(R+S+L)'!P47="",Moore!N47=""),"",'H(R+S+L)'!P47-Moore!N47)</f>
      </c>
      <c r="O47" s="342">
        <f>IF(OR('H(R+S+L)'!Q47="N.P.",'H(R+S+L)'!Q47="",Moore!O47=""),"",'H(R+S+L)'!Q47-Moore!O47)</f>
      </c>
      <c r="P47" s="347">
        <f>IF(OR('H(R+S+L)'!R47="N.P.",'H(R+S+L)'!R47="",Moore!P47=""),"",'H(R+S+L)'!R47-Moore!P47)</f>
      </c>
      <c r="Q47" s="341">
        <f>IF(OR('H(R+S+L)'!S47="N.P.",'H(R+S+L)'!S47="",Moore!Q47=""),"",'H(R+S+L)'!S47-Moore!Q47)</f>
      </c>
      <c r="R47" s="341">
        <f>IF(OR('H(R+S+L)'!T47="N.P.",'H(R+S+L)'!T47="",Moore!R47=""),"",'H(R+S+L)'!T47-Moore!R47)</f>
      </c>
      <c r="S47" s="341">
        <f>IF(OR('H(R+S+L)'!U47="N.P.",'H(R+S+L)'!U47="",Moore!S47=""),"",'H(R+S+L)'!U47-Moore!S47)</f>
      </c>
      <c r="T47" s="342">
        <f>IF(OR('H(R+S+L)'!V47="N.P.",'H(R+S+L)'!V47="",Moore!T47=""),"",'H(R+S+L)'!V47-Moore!T47)</f>
      </c>
      <c r="U47" s="347">
        <f>IF(OR('H(R+S+L)'!W47="N.P.",'H(R+S+L)'!W47="",Moore!U47=""),"",'H(R+S+L)'!W47-Moore!U47)</f>
      </c>
      <c r="V47" s="341">
        <f>IF(OR('H(R+S+L)'!X47="N.P.",'H(R+S+L)'!X47="",Moore!V47=""),"",'H(R+S+L)'!X47-Moore!V47)</f>
      </c>
      <c r="W47" s="341">
        <f>IF(OR('H(R+S+L)'!Y47="N.P.",'H(R+S+L)'!Y47="",Moore!W47=""),"",'H(R+S+L)'!Y47-Moore!W47)</f>
      </c>
      <c r="X47" s="341">
        <f>IF(OR('H(R+S+L)'!Z47="N.P.",'H(R+S+L)'!Z47="",Moore!X47=""),"",'H(R+S+L)'!Z47-Moore!X47)</f>
      </c>
      <c r="Y47" s="341">
        <f>IF(OR('H(R+S+L)'!AA47="N.P.",'H(R+S+L)'!AA47="",Moore!Y47=""),"",'H(R+S+L)'!AA47-Moore!Y47)</f>
      </c>
      <c r="Z47" s="341">
        <f>IF(OR('H(R+S+L)'!AB47="N.P.",'H(R+S+L)'!AB47="",Moore!Z47=""),"",'H(R+S+L)'!AB47-Moore!Z47)</f>
        <v>0.089724769572058</v>
      </c>
      <c r="AA47" s="342">
        <f>IF(OR('H(R+S+L)'!AC47="N.P.",'H(R+S+L)'!AC47="",Moore!AA47=""),"",'H(R+S+L)'!AC47-Moore!AA47)</f>
      </c>
      <c r="AB47" s="347">
        <f>IF(OR('H(R+S+L)'!AD47="N.P.",'H(R+S+L)'!AD47="",Moore!AB47=""),"",'H(R+S+L)'!AD47-Moore!AB47)</f>
      </c>
      <c r="AC47" s="341">
        <f>IF(OR('H(R+S+L)'!AE47="N.P.",'H(R+S+L)'!AE47="",Moore!AC47=""),"",'H(R+S+L)'!AE47-Moore!AC47)</f>
      </c>
      <c r="AD47" s="341">
        <f>IF(OR('H(R+S+L)'!AF47="N.P.",'H(R+S+L)'!AF47="",Moore!AD47=""),"",'H(R+S+L)'!AF47-Moore!AD47)</f>
      </c>
      <c r="AE47" s="341">
        <f>IF(OR('H(R+S+L)'!AG47="N.P.",'H(R+S+L)'!AG47="",Moore!AE47=""),"",'H(R+S+L)'!AG47-Moore!AE47)</f>
      </c>
      <c r="AF47" s="341">
        <f>IF(OR('H(R+S+L)'!AH47="N.P.",'H(R+S+L)'!AH47="",Moore!AF47=""),"",'H(R+S+L)'!AH47-Moore!AF47)</f>
      </c>
      <c r="AG47" s="341">
        <f>IF(OR('H(R+S+L)'!AI47="N.P.",'H(R+S+L)'!AI47="",Moore!AG47=""),"",'H(R+S+L)'!AI47-Moore!AG47)</f>
      </c>
      <c r="AH47" s="341">
        <f>IF(OR('H(R+S+L)'!AJ47="N.P.",'H(R+S+L)'!AJ47="",Moore!AH47=""),"",'H(R+S+L)'!AJ47-Moore!AH47)</f>
      </c>
      <c r="AI47" s="341">
        <f>IF(OR('H(R+S+L)'!AK47="N.P.",'H(R+S+L)'!AK47="",Moore!AI47=""),"",'H(R+S+L)'!AK47-Moore!AI47)</f>
      </c>
      <c r="AJ47" s="342">
        <f>IF(OR('H(R+S+L)'!AL47="N.P.",'H(R+S+L)'!AL47="",Moore!AJ47=""),"",'H(R+S+L)'!AL47-Moore!AJ47)</f>
      </c>
      <c r="AK47" s="347">
        <f>IF(OR('H(R+S+L)'!AM47="N.P.",'H(R+S+L)'!AM47="",Moore!AK47=""),"",'H(R+S+L)'!AM47-Moore!AK47)</f>
      </c>
      <c r="AL47" s="341">
        <f>IF(OR('H(R+S+L)'!AN47="N.P.",'H(R+S+L)'!AN47="",Moore!AL47=""),"",'H(R+S+L)'!AN47-Moore!AL47)</f>
      </c>
      <c r="AM47" s="341">
        <f>IF(OR('H(R+S+L)'!AO47="N.P.",'H(R+S+L)'!AO47="",Moore!AM47=""),"",'H(R+S+L)'!AO47-Moore!AM47)</f>
      </c>
      <c r="AN47" s="341">
        <f>IF(OR('H(R+S+L)'!AP47="N.P.",'H(R+S+L)'!AP47="",Moore!AN47=""),"",'H(R+S+L)'!AP47-Moore!AN47)</f>
      </c>
      <c r="AO47" s="341">
        <f>IF(OR('H(R+S+L)'!AQ47="N.P.",'H(R+S+L)'!AQ47="",Moore!AO47=""),"",'H(R+S+L)'!AQ47-Moore!AO47)</f>
      </c>
      <c r="AP47" s="341">
        <f>IF(OR('H(R+S+L)'!AR47="N.P.",'H(R+S+L)'!AR47="",Moore!AP47=""),"",'H(R+S+L)'!AR47-Moore!AP47)</f>
      </c>
      <c r="AQ47" s="341">
        <f>IF(OR('H(R+S+L)'!AS47="N.P.",'H(R+S+L)'!AS47="",Moore!AQ47=""),"",'H(R+S+L)'!AS47-Moore!AQ47)</f>
      </c>
      <c r="AR47" s="341">
        <f>IF(OR('H(R+S+L)'!AT47="N.P.",'H(R+S+L)'!AT47="",Moore!AR47=""),"",'H(R+S+L)'!AT47-Moore!AR47)</f>
      </c>
      <c r="AS47" s="341">
        <f>IF(OR('H(R+S+L)'!AU47="N.P.",'H(R+S+L)'!AU47="",Moore!AS47=""),"",'H(R+S+L)'!AU47-Moore!AS47)</f>
      </c>
      <c r="AT47" s="341">
        <f>IF(OR('H(R+S+L)'!AV47="N.P.",'H(R+S+L)'!AV47="",Moore!AT47=""),"",'H(R+S+L)'!AV47-Moore!AT47)</f>
      </c>
      <c r="AU47" s="342">
        <f>IF(OR('H(R+S+L)'!AW47="N.P.",'H(R+S+L)'!AW47="",Moore!AU47=""),"",'H(R+S+L)'!AW47-Moore!AU47)</f>
      </c>
      <c r="AV47" s="347">
        <f>IF(OR('H(R+S+L)'!AX47="N.P.",'H(R+S+L)'!AX47="",Moore!AV47=""),"",'H(R+S+L)'!AX47-Moore!AV47)</f>
      </c>
      <c r="AW47" s="341">
        <f>IF(OR('H(R+S+L)'!AY47="N.P.",'H(R+S+L)'!AY47="",Moore!AW47=""),"",'H(R+S+L)'!AY47-Moore!AW47)</f>
      </c>
      <c r="AX47" s="341">
        <f>IF(OR('H(R+S+L)'!AZ47="N.P.",'H(R+S+L)'!AZ47="",Moore!AX47=""),"",'H(R+S+L)'!AZ47-Moore!AX47)</f>
      </c>
      <c r="AY47" s="341">
        <f>IF(OR('H(R+S+L)'!BA47="N.P.",'H(R+S+L)'!BA47="",Moore!AY47=""),"",'H(R+S+L)'!BA47-Moore!AY47)</f>
      </c>
      <c r="AZ47" s="341">
        <f>IF(OR('H(R+S+L)'!BB47="N.P.",'H(R+S+L)'!BB47="",Moore!AZ47=""),"",'H(R+S+L)'!BB47-Moore!AZ47)</f>
      </c>
      <c r="BA47" s="341">
        <f>IF(OR('H(R+S+L)'!BC47="N.P.",'H(R+S+L)'!BC47="",Moore!BA47=""),"",'H(R+S+L)'!BC47-Moore!BA47)</f>
      </c>
      <c r="BB47" s="341">
        <f>IF(OR('H(R+S+L)'!BD47="N.P.",'H(R+S+L)'!BD47="",Moore!BB47=""),"",'H(R+S+L)'!BD47-Moore!BB47)</f>
      </c>
      <c r="BC47" s="341">
        <f>IF(OR('H(R+S+L)'!BE47="N.P.",'H(R+S+L)'!BE47="",Moore!BC47=""),"",'H(R+S+L)'!BE47-Moore!BC47)</f>
      </c>
      <c r="BD47" s="341">
        <f>IF(OR('H(R+S+L)'!BF47="N.P.",'H(R+S+L)'!BF47="",Moore!BD47=""),"",'H(R+S+L)'!BF47-Moore!BD47)</f>
      </c>
      <c r="BE47" s="341">
        <f>IF(OR('H(R+S+L)'!BG47="N.P.",'H(R+S+L)'!BG47="",Moore!BE47=""),"",'H(R+S+L)'!BG47-Moore!BE47)</f>
      </c>
      <c r="BF47" s="341">
        <f>IF(OR('H(R+S+L)'!BH47="N.P.",'H(R+S+L)'!BH47="",Moore!BF47=""),"",'H(R+S+L)'!BH47-Moore!BF47)</f>
      </c>
      <c r="BG47" s="341">
        <f>IF(OR('H(R+S+L)'!BI47="N.P.",'H(R+S+L)'!BI47="",Moore!BG47=""),"",'H(R+S+L)'!BI47-Moore!BG47)</f>
      </c>
      <c r="BH47" s="342">
        <f>IF(OR('H(R+S+L)'!BJ47="N.P.",'H(R+S+L)'!BJ47="",Moore!BH47=""),"",'H(R+S+L)'!BJ47-Moore!BH47)</f>
      </c>
    </row>
    <row r="48" spans="7:60" ht="12.75">
      <c r="G48" s="788"/>
      <c r="H48" s="337">
        <f>'H(R+S+L)'!J48*1-Moore!H48</f>
        <v>0.0006182416254887357</v>
      </c>
      <c r="I48" s="297">
        <v>6</v>
      </c>
      <c r="J48" s="298">
        <v>4.5</v>
      </c>
      <c r="K48" s="296" t="s">
        <v>15</v>
      </c>
      <c r="L48" s="695">
        <f>IF(OR('H(R+S+L)'!N48="N.P.",'H(R+S+L)'!N48="",Moore!L48=""),"",'H(R+S+L)'!N48-Moore!L48)</f>
      </c>
      <c r="M48" s="347">
        <f>IF(OR('H(R+S+L)'!O48="N.P.",'H(R+S+L)'!O48="",Moore!M48=""),"",'H(R+S+L)'!O48-Moore!M48)</f>
      </c>
      <c r="N48" s="341">
        <f>IF(OR('H(R+S+L)'!P48="N.P.",'H(R+S+L)'!P48="",Moore!N48=""),"",'H(R+S+L)'!P48-Moore!N48)</f>
      </c>
      <c r="O48" s="342">
        <f>IF(OR('H(R+S+L)'!Q48="N.P.",'H(R+S+L)'!Q48="",Moore!O48=""),"",'H(R+S+L)'!Q48-Moore!O48)</f>
      </c>
      <c r="P48" s="347">
        <f>IF(OR('H(R+S+L)'!R48="N.P.",'H(R+S+L)'!R48="",Moore!P48=""),"",'H(R+S+L)'!R48-Moore!P48)</f>
      </c>
      <c r="Q48" s="341">
        <f>IF(OR('H(R+S+L)'!S48="N.P.",'H(R+S+L)'!S48="",Moore!Q48=""),"",'H(R+S+L)'!S48-Moore!Q48)</f>
      </c>
      <c r="R48" s="341">
        <f>IF(OR('H(R+S+L)'!T48="N.P.",'H(R+S+L)'!T48="",Moore!R48=""),"",'H(R+S+L)'!T48-Moore!R48)</f>
      </c>
      <c r="S48" s="341">
        <f>IF(OR('H(R+S+L)'!U48="N.P.",'H(R+S+L)'!U48="",Moore!S48=""),"",'H(R+S+L)'!U48-Moore!S48)</f>
      </c>
      <c r="T48" s="342">
        <f>IF(OR('H(R+S+L)'!V48="N.P.",'H(R+S+L)'!V48="",Moore!T48=""),"",'H(R+S+L)'!V48-Moore!T48)</f>
      </c>
      <c r="U48" s="347">
        <f>IF(OR('H(R+S+L)'!W48="N.P.",'H(R+S+L)'!W48="",Moore!U48=""),"",'H(R+S+L)'!W48-Moore!U48)</f>
      </c>
      <c r="V48" s="341">
        <f>IF(OR('H(R+S+L)'!X48="N.P.",'H(R+S+L)'!X48="",Moore!V48=""),"",'H(R+S+L)'!X48-Moore!V48)</f>
      </c>
      <c r="W48" s="341">
        <f>IF(OR('H(R+S+L)'!Y48="N.P.",'H(R+S+L)'!Y48="",Moore!W48=""),"",'H(R+S+L)'!Y48-Moore!W48)</f>
      </c>
      <c r="X48" s="341">
        <f>IF(OR('H(R+S+L)'!Z48="N.P.",'H(R+S+L)'!Z48="",Moore!X48=""),"",'H(R+S+L)'!Z48-Moore!X48)</f>
      </c>
      <c r="Y48" s="341">
        <f>IF(OR('H(R+S+L)'!AA48="N.P.",'H(R+S+L)'!AA48="",Moore!Y48=""),"",'H(R+S+L)'!AA48-Moore!Y48)</f>
      </c>
      <c r="Z48" s="341">
        <f>IF(OR('H(R+S+L)'!AB48="N.P.",'H(R+S+L)'!AB48="",Moore!Z48=""),"",'H(R+S+L)'!AB48-Moore!Z48)</f>
      </c>
      <c r="AA48" s="342">
        <f>IF(OR('H(R+S+L)'!AC48="N.P.",'H(R+S+L)'!AC48="",Moore!AA48=""),"",'H(R+S+L)'!AC48-Moore!AA48)</f>
      </c>
      <c r="AB48" s="347">
        <f>IF(OR('H(R+S+L)'!AD48="N.P.",'H(R+S+L)'!AD48="",Moore!AB48=""),"",'H(R+S+L)'!AD48-Moore!AB48)</f>
      </c>
      <c r="AC48" s="341">
        <f>IF(OR('H(R+S+L)'!AE48="N.P.",'H(R+S+L)'!AE48="",Moore!AC48=""),"",'H(R+S+L)'!AE48-Moore!AC48)</f>
      </c>
      <c r="AD48" s="341">
        <f>IF(OR('H(R+S+L)'!AF48="N.P.",'H(R+S+L)'!AF48="",Moore!AD48=""),"",'H(R+S+L)'!AF48-Moore!AD48)</f>
      </c>
      <c r="AE48" s="341">
        <f>IF(OR('H(R+S+L)'!AG48="N.P.",'H(R+S+L)'!AG48="",Moore!AE48=""),"",'H(R+S+L)'!AG48-Moore!AE48)</f>
      </c>
      <c r="AF48" s="341">
        <f>IF(OR('H(R+S+L)'!AH48="N.P.",'H(R+S+L)'!AH48="",Moore!AF48=""),"",'H(R+S+L)'!AH48-Moore!AF48)</f>
      </c>
      <c r="AG48" s="341">
        <f>IF(OR('H(R+S+L)'!AI48="N.P.",'H(R+S+L)'!AI48="",Moore!AG48=""),"",'H(R+S+L)'!AI48-Moore!AG48)</f>
      </c>
      <c r="AH48" s="341">
        <f>IF(OR('H(R+S+L)'!AJ48="N.P.",'H(R+S+L)'!AJ48="",Moore!AH48=""),"",'H(R+S+L)'!AJ48-Moore!AH48)</f>
      </c>
      <c r="AI48" s="341">
        <f>IF(OR('H(R+S+L)'!AK48="N.P.",'H(R+S+L)'!AK48="",Moore!AI48=""),"",'H(R+S+L)'!AK48-Moore!AI48)</f>
      </c>
      <c r="AJ48" s="342">
        <f>IF(OR('H(R+S+L)'!AL48="N.P.",'H(R+S+L)'!AL48="",Moore!AJ48=""),"",'H(R+S+L)'!AL48-Moore!AJ48)</f>
      </c>
      <c r="AK48" s="347">
        <f>IF(OR('H(R+S+L)'!AM48="N.P.",'H(R+S+L)'!AM48="",Moore!AK48=""),"",'H(R+S+L)'!AM48-Moore!AK48)</f>
      </c>
      <c r="AL48" s="341">
        <f>IF(OR('H(R+S+L)'!AN48="N.P.",'H(R+S+L)'!AN48="",Moore!AL48=""),"",'H(R+S+L)'!AN48-Moore!AL48)</f>
      </c>
      <c r="AM48" s="341">
        <f>IF(OR('H(R+S+L)'!AO48="N.P.",'H(R+S+L)'!AO48="",Moore!AM48=""),"",'H(R+S+L)'!AO48-Moore!AM48)</f>
      </c>
      <c r="AN48" s="341">
        <f>IF(OR('H(R+S+L)'!AP48="N.P.",'H(R+S+L)'!AP48="",Moore!AN48=""),"",'H(R+S+L)'!AP48-Moore!AN48)</f>
      </c>
      <c r="AO48" s="341">
        <f>IF(OR('H(R+S+L)'!AQ48="N.P.",'H(R+S+L)'!AQ48="",Moore!AO48=""),"",'H(R+S+L)'!AQ48-Moore!AO48)</f>
      </c>
      <c r="AP48" s="341">
        <f>IF(OR('H(R+S+L)'!AR48="N.P.",'H(R+S+L)'!AR48="",Moore!AP48=""),"",'H(R+S+L)'!AR48-Moore!AP48)</f>
      </c>
      <c r="AQ48" s="341">
        <f>IF(OR('H(R+S+L)'!AS48="N.P.",'H(R+S+L)'!AS48="",Moore!AQ48=""),"",'H(R+S+L)'!AS48-Moore!AQ48)</f>
      </c>
      <c r="AR48" s="341">
        <f>IF(OR('H(R+S+L)'!AT48="N.P.",'H(R+S+L)'!AT48="",Moore!AR48=""),"",'H(R+S+L)'!AT48-Moore!AR48)</f>
      </c>
      <c r="AS48" s="341">
        <f>IF(OR('H(R+S+L)'!AU48="N.P.",'H(R+S+L)'!AU48="",Moore!AS48=""),"",'H(R+S+L)'!AU48-Moore!AS48)</f>
      </c>
      <c r="AT48" s="341">
        <f>IF(OR('H(R+S+L)'!AV48="N.P.",'H(R+S+L)'!AV48="",Moore!AT48=""),"",'H(R+S+L)'!AV48-Moore!AT48)</f>
      </c>
      <c r="AU48" s="342">
        <f>IF(OR('H(R+S+L)'!AW48="N.P.",'H(R+S+L)'!AW48="",Moore!AU48=""),"",'H(R+S+L)'!AW48-Moore!AU48)</f>
      </c>
      <c r="AV48" s="347">
        <f>IF(OR('H(R+S+L)'!AX48="N.P.",'H(R+S+L)'!AX48="",Moore!AV48=""),"",'H(R+S+L)'!AX48-Moore!AV48)</f>
      </c>
      <c r="AW48" s="341">
        <f>IF(OR('H(R+S+L)'!AY48="N.P.",'H(R+S+L)'!AY48="",Moore!AW48=""),"",'H(R+S+L)'!AY48-Moore!AW48)</f>
      </c>
      <c r="AX48" s="341">
        <f>IF(OR('H(R+S+L)'!AZ48="N.P.",'H(R+S+L)'!AZ48="",Moore!AX48=""),"",'H(R+S+L)'!AZ48-Moore!AX48)</f>
      </c>
      <c r="AY48" s="341">
        <f>IF(OR('H(R+S+L)'!BA48="N.P.",'H(R+S+L)'!BA48="",Moore!AY48=""),"",'H(R+S+L)'!BA48-Moore!AY48)</f>
      </c>
      <c r="AZ48" s="341">
        <f>IF(OR('H(R+S+L)'!BB48="N.P.",'H(R+S+L)'!BB48="",Moore!AZ48=""),"",'H(R+S+L)'!BB48-Moore!AZ48)</f>
      </c>
      <c r="BA48" s="341">
        <f>IF(OR('H(R+S+L)'!BC48="N.P.",'H(R+S+L)'!BC48="",Moore!BA48=""),"",'H(R+S+L)'!BC48-Moore!BA48)</f>
      </c>
      <c r="BB48" s="341">
        <f>IF(OR('H(R+S+L)'!BD48="N.P.",'H(R+S+L)'!BD48="",Moore!BB48=""),"",'H(R+S+L)'!BD48-Moore!BB48)</f>
      </c>
      <c r="BC48" s="341">
        <f>IF(OR('H(R+S+L)'!BE48="N.P.",'H(R+S+L)'!BE48="",Moore!BC48=""),"",'H(R+S+L)'!BE48-Moore!BC48)</f>
      </c>
      <c r="BD48" s="341">
        <f>IF(OR('H(R+S+L)'!BF48="N.P.",'H(R+S+L)'!BF48="",Moore!BD48=""),"",'H(R+S+L)'!BF48-Moore!BD48)</f>
      </c>
      <c r="BE48" s="341">
        <f>IF(OR('H(R+S+L)'!BG48="N.P.",'H(R+S+L)'!BG48="",Moore!BE48=""),"",'H(R+S+L)'!BG48-Moore!BE48)</f>
      </c>
      <c r="BF48" s="341">
        <f>IF(OR('H(R+S+L)'!BH48="N.P.",'H(R+S+L)'!BH48="",Moore!BF48=""),"",'H(R+S+L)'!BH48-Moore!BF48)</f>
      </c>
      <c r="BG48" s="341">
        <f>IF(OR('H(R+S+L)'!BI48="N.P.",'H(R+S+L)'!BI48="",Moore!BG48=""),"",'H(R+S+L)'!BI48-Moore!BG48)</f>
      </c>
      <c r="BH48" s="342">
        <f>IF(OR('H(R+S+L)'!BJ48="N.P.",'H(R+S+L)'!BJ48="",Moore!BH48=""),"",'H(R+S+L)'!BJ48-Moore!BH48)</f>
      </c>
    </row>
    <row r="49" spans="7:60" ht="12.75">
      <c r="G49" s="788"/>
      <c r="H49" s="337">
        <f>'H(R+S+L)'!J49*1-Moore!H49</f>
        <v>-0.00014491850743070245</v>
      </c>
      <c r="I49" s="297">
        <v>6</v>
      </c>
      <c r="J49" s="298">
        <v>5.5</v>
      </c>
      <c r="K49" s="296" t="s">
        <v>16</v>
      </c>
      <c r="L49" s="695">
        <f>IF(OR('H(R+S+L)'!N49="N.P.",'H(R+S+L)'!N49="",Moore!L49=""),"",'H(R+S+L)'!N49-Moore!L49)</f>
      </c>
      <c r="M49" s="347">
        <f>IF(OR('H(R+S+L)'!O49="N.P.",'H(R+S+L)'!O49="",Moore!M49=""),"",'H(R+S+L)'!O49-Moore!M49)</f>
      </c>
      <c r="N49" s="341">
        <f>IF(OR('H(R+S+L)'!P49="N.P.",'H(R+S+L)'!P49="",Moore!N49=""),"",'H(R+S+L)'!P49-Moore!N49)</f>
      </c>
      <c r="O49" s="342">
        <f>IF(OR('H(R+S+L)'!Q49="N.P.",'H(R+S+L)'!Q49="",Moore!O49=""),"",'H(R+S+L)'!Q49-Moore!O49)</f>
      </c>
      <c r="P49" s="347">
        <f>IF(OR('H(R+S+L)'!R49="N.P.",'H(R+S+L)'!R49="",Moore!P49=""),"",'H(R+S+L)'!R49-Moore!P49)</f>
      </c>
      <c r="Q49" s="341">
        <f>IF(OR('H(R+S+L)'!S49="N.P.",'H(R+S+L)'!S49="",Moore!Q49=""),"",'H(R+S+L)'!S49-Moore!Q49)</f>
      </c>
      <c r="R49" s="341">
        <f>IF(OR('H(R+S+L)'!T49="N.P.",'H(R+S+L)'!T49="",Moore!R49=""),"",'H(R+S+L)'!T49-Moore!R49)</f>
      </c>
      <c r="S49" s="341">
        <f>IF(OR('H(R+S+L)'!U49="N.P.",'H(R+S+L)'!U49="",Moore!S49=""),"",'H(R+S+L)'!U49-Moore!S49)</f>
      </c>
      <c r="T49" s="342">
        <f>IF(OR('H(R+S+L)'!V49="N.P.",'H(R+S+L)'!V49="",Moore!T49=""),"",'H(R+S+L)'!V49-Moore!T49)</f>
      </c>
      <c r="U49" s="347">
        <f>IF(OR('H(R+S+L)'!W49="N.P.",'H(R+S+L)'!W49="",Moore!U49=""),"",'H(R+S+L)'!W49-Moore!U49)</f>
      </c>
      <c r="V49" s="341">
        <f>IF(OR('H(R+S+L)'!X49="N.P.",'H(R+S+L)'!X49="",Moore!V49=""),"",'H(R+S+L)'!X49-Moore!V49)</f>
      </c>
      <c r="W49" s="341">
        <f>IF(OR('H(R+S+L)'!Y49="N.P.",'H(R+S+L)'!Y49="",Moore!W49=""),"",'H(R+S+L)'!Y49-Moore!W49)</f>
      </c>
      <c r="X49" s="341">
        <f>IF(OR('H(R+S+L)'!Z49="N.P.",'H(R+S+L)'!Z49="",Moore!X49=""),"",'H(R+S+L)'!Z49-Moore!X49)</f>
      </c>
      <c r="Y49" s="341">
        <f>IF(OR('H(R+S+L)'!AA49="N.P.",'H(R+S+L)'!AA49="",Moore!Y49=""),"",'H(R+S+L)'!AA49-Moore!Y49)</f>
      </c>
      <c r="Z49" s="341">
        <f>IF(OR('H(R+S+L)'!AB49="N.P.",'H(R+S+L)'!AB49="",Moore!Z49=""),"",'H(R+S+L)'!AB49-Moore!Z49)</f>
      </c>
      <c r="AA49" s="342">
        <f>IF(OR('H(R+S+L)'!AC49="N.P.",'H(R+S+L)'!AC49="",Moore!AA49=""),"",'H(R+S+L)'!AC49-Moore!AA49)</f>
      </c>
      <c r="AB49" s="347">
        <f>IF(OR('H(R+S+L)'!AD49="N.P.",'H(R+S+L)'!AD49="",Moore!AB49=""),"",'H(R+S+L)'!AD49-Moore!AB49)</f>
      </c>
      <c r="AC49" s="341">
        <f>IF(OR('H(R+S+L)'!AE49="N.P.",'H(R+S+L)'!AE49="",Moore!AC49=""),"",'H(R+S+L)'!AE49-Moore!AC49)</f>
      </c>
      <c r="AD49" s="341">
        <f>IF(OR('H(R+S+L)'!AF49="N.P.",'H(R+S+L)'!AF49="",Moore!AD49=""),"",'H(R+S+L)'!AF49-Moore!AD49)</f>
      </c>
      <c r="AE49" s="341">
        <f>IF(OR('H(R+S+L)'!AG49="N.P.",'H(R+S+L)'!AG49="",Moore!AE49=""),"",'H(R+S+L)'!AG49-Moore!AE49)</f>
      </c>
      <c r="AF49" s="341">
        <f>IF(OR('H(R+S+L)'!AH49="N.P.",'H(R+S+L)'!AH49="",Moore!AF49=""),"",'H(R+S+L)'!AH49-Moore!AF49)</f>
      </c>
      <c r="AG49" s="341">
        <f>IF(OR('H(R+S+L)'!AI49="N.P.",'H(R+S+L)'!AI49="",Moore!AG49=""),"",'H(R+S+L)'!AI49-Moore!AG49)</f>
      </c>
      <c r="AH49" s="341">
        <f>IF(OR('H(R+S+L)'!AJ49="N.P.",'H(R+S+L)'!AJ49="",Moore!AH49=""),"",'H(R+S+L)'!AJ49-Moore!AH49)</f>
      </c>
      <c r="AI49" s="341">
        <f>IF(OR('H(R+S+L)'!AK49="N.P.",'H(R+S+L)'!AK49="",Moore!AI49=""),"",'H(R+S+L)'!AK49-Moore!AI49)</f>
        <v>0.16645905129553284</v>
      </c>
      <c r="AJ49" s="342">
        <f>IF(OR('H(R+S+L)'!AL49="N.P.",'H(R+S+L)'!AL49="",Moore!AJ49=""),"",'H(R+S+L)'!AL49-Moore!AJ49)</f>
      </c>
      <c r="AK49" s="347">
        <f>IF(OR('H(R+S+L)'!AM49="N.P.",'H(R+S+L)'!AM49="",Moore!AK49=""),"",'H(R+S+L)'!AM49-Moore!AK49)</f>
      </c>
      <c r="AL49" s="341">
        <f>IF(OR('H(R+S+L)'!AN49="N.P.",'H(R+S+L)'!AN49="",Moore!AL49=""),"",'H(R+S+L)'!AN49-Moore!AL49)</f>
      </c>
      <c r="AM49" s="341">
        <f>IF(OR('H(R+S+L)'!AO49="N.P.",'H(R+S+L)'!AO49="",Moore!AM49=""),"",'H(R+S+L)'!AO49-Moore!AM49)</f>
      </c>
      <c r="AN49" s="341">
        <f>IF(OR('H(R+S+L)'!AP49="N.P.",'H(R+S+L)'!AP49="",Moore!AN49=""),"",'H(R+S+L)'!AP49-Moore!AN49)</f>
      </c>
      <c r="AO49" s="341">
        <f>IF(OR('H(R+S+L)'!AQ49="N.P.",'H(R+S+L)'!AQ49="",Moore!AO49=""),"",'H(R+S+L)'!AQ49-Moore!AO49)</f>
      </c>
      <c r="AP49" s="341">
        <f>IF(OR('H(R+S+L)'!AR49="N.P.",'H(R+S+L)'!AR49="",Moore!AP49=""),"",'H(R+S+L)'!AR49-Moore!AP49)</f>
      </c>
      <c r="AQ49" s="341">
        <f>IF(OR('H(R+S+L)'!AS49="N.P.",'H(R+S+L)'!AS49="",Moore!AQ49=""),"",'H(R+S+L)'!AS49-Moore!AQ49)</f>
      </c>
      <c r="AR49" s="341">
        <f>IF(OR('H(R+S+L)'!AT49="N.P.",'H(R+S+L)'!AT49="",Moore!AR49=""),"",'H(R+S+L)'!AT49-Moore!AR49)</f>
      </c>
      <c r="AS49" s="341">
        <f>IF(OR('H(R+S+L)'!AU49="N.P.",'H(R+S+L)'!AU49="",Moore!AS49=""),"",'H(R+S+L)'!AU49-Moore!AS49)</f>
      </c>
      <c r="AT49" s="341">
        <f>IF(OR('H(R+S+L)'!AV49="N.P.",'H(R+S+L)'!AV49="",Moore!AT49=""),"",'H(R+S+L)'!AV49-Moore!AT49)</f>
      </c>
      <c r="AU49" s="342">
        <f>IF(OR('H(R+S+L)'!AW49="N.P.",'H(R+S+L)'!AW49="",Moore!AU49=""),"",'H(R+S+L)'!AW49-Moore!AU49)</f>
      </c>
      <c r="AV49" s="347">
        <f>IF(OR('H(R+S+L)'!AX49="N.P.",'H(R+S+L)'!AX49="",Moore!AV49=""),"",'H(R+S+L)'!AX49-Moore!AV49)</f>
      </c>
      <c r="AW49" s="341">
        <f>IF(OR('H(R+S+L)'!AY49="N.P.",'H(R+S+L)'!AY49="",Moore!AW49=""),"",'H(R+S+L)'!AY49-Moore!AW49)</f>
      </c>
      <c r="AX49" s="341">
        <f>IF(OR('H(R+S+L)'!AZ49="N.P.",'H(R+S+L)'!AZ49="",Moore!AX49=""),"",'H(R+S+L)'!AZ49-Moore!AX49)</f>
      </c>
      <c r="AY49" s="341">
        <f>IF(OR('H(R+S+L)'!BA49="N.P.",'H(R+S+L)'!BA49="",Moore!AY49=""),"",'H(R+S+L)'!BA49-Moore!AY49)</f>
      </c>
      <c r="AZ49" s="341">
        <f>IF(OR('H(R+S+L)'!BB49="N.P.",'H(R+S+L)'!BB49="",Moore!AZ49=""),"",'H(R+S+L)'!BB49-Moore!AZ49)</f>
      </c>
      <c r="BA49" s="341">
        <f>IF(OR('H(R+S+L)'!BC49="N.P.",'H(R+S+L)'!BC49="",Moore!BA49=""),"",'H(R+S+L)'!BC49-Moore!BA49)</f>
      </c>
      <c r="BB49" s="341">
        <f>IF(OR('H(R+S+L)'!BD49="N.P.",'H(R+S+L)'!BD49="",Moore!BB49=""),"",'H(R+S+L)'!BD49-Moore!BB49)</f>
      </c>
      <c r="BC49" s="341">
        <f>IF(OR('H(R+S+L)'!BE49="N.P.",'H(R+S+L)'!BE49="",Moore!BC49=""),"",'H(R+S+L)'!BE49-Moore!BC49)</f>
      </c>
      <c r="BD49" s="341">
        <f>IF(OR('H(R+S+L)'!BF49="N.P.",'H(R+S+L)'!BF49="",Moore!BD49=""),"",'H(R+S+L)'!BF49-Moore!BD49)</f>
      </c>
      <c r="BE49" s="341">
        <f>IF(OR('H(R+S+L)'!BG49="N.P.",'H(R+S+L)'!BG49="",Moore!BE49=""),"",'H(R+S+L)'!BG49-Moore!BE49)</f>
      </c>
      <c r="BF49" s="341">
        <f>IF(OR('H(R+S+L)'!BH49="N.P.",'H(R+S+L)'!BH49="",Moore!BF49=""),"",'H(R+S+L)'!BH49-Moore!BF49)</f>
      </c>
      <c r="BG49" s="341">
        <f>IF(OR('H(R+S+L)'!BI49="N.P.",'H(R+S+L)'!BI49="",Moore!BG49=""),"",'H(R+S+L)'!BI49-Moore!BG49)</f>
      </c>
      <c r="BH49" s="342">
        <f>IF(OR('H(R+S+L)'!BJ49="N.P.",'H(R+S+L)'!BJ49="",Moore!BH49=""),"",'H(R+S+L)'!BJ49-Moore!BH49)</f>
      </c>
    </row>
    <row r="50" spans="1:60" ht="13.5" thickBot="1">
      <c r="A50" s="802" t="s">
        <v>89</v>
      </c>
      <c r="B50" s="803"/>
      <c r="G50" s="789"/>
      <c r="H50" s="338">
        <f>'H(R+S+L)'!J50*1-Moore!H50</f>
        <v>-0.0005396081687649712</v>
      </c>
      <c r="I50" s="330">
        <v>6</v>
      </c>
      <c r="J50" s="327">
        <v>5.5</v>
      </c>
      <c r="K50" s="328" t="s">
        <v>17</v>
      </c>
      <c r="L50" s="696">
        <f>IF(OR('H(R+S+L)'!N50="N.P.",'H(R+S+L)'!N50="",Moore!L50=""),"",'H(R+S+L)'!N50-Moore!L50)</f>
      </c>
      <c r="M50" s="348">
        <f>IF(OR('H(R+S+L)'!O50="N.P.",'H(R+S+L)'!O50="",Moore!M50=""),"",'H(R+S+L)'!O50-Moore!M50)</f>
      </c>
      <c r="N50" s="343">
        <f>IF(OR('H(R+S+L)'!P50="N.P.",'H(R+S+L)'!P50="",Moore!N50=""),"",'H(R+S+L)'!P50-Moore!N50)</f>
      </c>
      <c r="O50" s="344">
        <f>IF(OR('H(R+S+L)'!Q50="N.P.",'H(R+S+L)'!Q50="",Moore!O50=""),"",'H(R+S+L)'!Q50-Moore!O50)</f>
      </c>
      <c r="P50" s="348">
        <f>IF(OR('H(R+S+L)'!R50="N.P.",'H(R+S+L)'!R50="",Moore!P50=""),"",'H(R+S+L)'!R50-Moore!P50)</f>
      </c>
      <c r="Q50" s="343">
        <f>IF(OR('H(R+S+L)'!S50="N.P.",'H(R+S+L)'!S50="",Moore!Q50=""),"",'H(R+S+L)'!S50-Moore!Q50)</f>
      </c>
      <c r="R50" s="343">
        <f>IF(OR('H(R+S+L)'!T50="N.P.",'H(R+S+L)'!T50="",Moore!R50=""),"",'H(R+S+L)'!T50-Moore!R50)</f>
      </c>
      <c r="S50" s="343">
        <f>IF(OR('H(R+S+L)'!U50="N.P.",'H(R+S+L)'!U50="",Moore!S50=""),"",'H(R+S+L)'!U50-Moore!S50)</f>
      </c>
      <c r="T50" s="344">
        <f>IF(OR('H(R+S+L)'!V50="N.P.",'H(R+S+L)'!V50="",Moore!T50=""),"",'H(R+S+L)'!V50-Moore!T50)</f>
      </c>
      <c r="U50" s="348">
        <f>IF(OR('H(R+S+L)'!W50="N.P.",'H(R+S+L)'!W50="",Moore!U50=""),"",'H(R+S+L)'!W50-Moore!U50)</f>
      </c>
      <c r="V50" s="343">
        <f>IF(OR('H(R+S+L)'!X50="N.P.",'H(R+S+L)'!X50="",Moore!V50=""),"",'H(R+S+L)'!X50-Moore!V50)</f>
      </c>
      <c r="W50" s="343">
        <f>IF(OR('H(R+S+L)'!Y50="N.P.",'H(R+S+L)'!Y50="",Moore!W50=""),"",'H(R+S+L)'!Y50-Moore!W50)</f>
      </c>
      <c r="X50" s="343">
        <f>IF(OR('H(R+S+L)'!Z50="N.P.",'H(R+S+L)'!Z50="",Moore!X50=""),"",'H(R+S+L)'!Z50-Moore!X50)</f>
      </c>
      <c r="Y50" s="343">
        <f>IF(OR('H(R+S+L)'!AA50="N.P.",'H(R+S+L)'!AA50="",Moore!Y50=""),"",'H(R+S+L)'!AA50-Moore!Y50)</f>
      </c>
      <c r="Z50" s="343">
        <f>IF(OR('H(R+S+L)'!AB50="N.P.",'H(R+S+L)'!AB50="",Moore!Z50=""),"",'H(R+S+L)'!AB50-Moore!Z50)</f>
      </c>
      <c r="AA50" s="344">
        <f>IF(OR('H(R+S+L)'!AC50="N.P.",'H(R+S+L)'!AC50="",Moore!AA50=""),"",'H(R+S+L)'!AC50-Moore!AA50)</f>
      </c>
      <c r="AB50" s="348">
        <f>IF(OR('H(R+S+L)'!AD50="N.P.",'H(R+S+L)'!AD50="",Moore!AB50=""),"",'H(R+S+L)'!AD50-Moore!AB50)</f>
      </c>
      <c r="AC50" s="343">
        <f>IF(OR('H(R+S+L)'!AE50="N.P.",'H(R+S+L)'!AE50="",Moore!AC50=""),"",'H(R+S+L)'!AE50-Moore!AC50)</f>
      </c>
      <c r="AD50" s="343">
        <f>IF(OR('H(R+S+L)'!AF50="N.P.",'H(R+S+L)'!AF50="",Moore!AD50=""),"",'H(R+S+L)'!AF50-Moore!AD50)</f>
      </c>
      <c r="AE50" s="343">
        <f>IF(OR('H(R+S+L)'!AG50="N.P.",'H(R+S+L)'!AG50="",Moore!AE50=""),"",'H(R+S+L)'!AG50-Moore!AE50)</f>
      </c>
      <c r="AF50" s="343">
        <f>IF(OR('H(R+S+L)'!AH50="N.P.",'H(R+S+L)'!AH50="",Moore!AF50=""),"",'H(R+S+L)'!AH50-Moore!AF50)</f>
      </c>
      <c r="AG50" s="343">
        <f>IF(OR('H(R+S+L)'!AI50="N.P.",'H(R+S+L)'!AI50="",Moore!AG50=""),"",'H(R+S+L)'!AI50-Moore!AG50)</f>
      </c>
      <c r="AH50" s="343">
        <f>IF(OR('H(R+S+L)'!AJ50="N.P.",'H(R+S+L)'!AJ50="",Moore!AH50=""),"",'H(R+S+L)'!AJ50-Moore!AH50)</f>
      </c>
      <c r="AI50" s="343">
        <f>IF(OR('H(R+S+L)'!AK50="N.P.",'H(R+S+L)'!AK50="",Moore!AI50=""),"",'H(R+S+L)'!AK50-Moore!AI50)</f>
      </c>
      <c r="AJ50" s="344">
        <f>IF(OR('H(R+S+L)'!AL50="N.P.",'H(R+S+L)'!AL50="",Moore!AJ50=""),"",'H(R+S+L)'!AL50-Moore!AJ50)</f>
      </c>
      <c r="AK50" s="348">
        <f>IF(OR('H(R+S+L)'!AM50="N.P.",'H(R+S+L)'!AM50="",Moore!AK50=""),"",'H(R+S+L)'!AM50-Moore!AK50)</f>
      </c>
      <c r="AL50" s="343">
        <f>IF(OR('H(R+S+L)'!AN50="N.P.",'H(R+S+L)'!AN50="",Moore!AL50=""),"",'H(R+S+L)'!AN50-Moore!AL50)</f>
      </c>
      <c r="AM50" s="343">
        <f>IF(OR('H(R+S+L)'!AO50="N.P.",'H(R+S+L)'!AO50="",Moore!AM50=""),"",'H(R+S+L)'!AO50-Moore!AM50)</f>
      </c>
      <c r="AN50" s="343">
        <f>IF(OR('H(R+S+L)'!AP50="N.P.",'H(R+S+L)'!AP50="",Moore!AN50=""),"",'H(R+S+L)'!AP50-Moore!AN50)</f>
      </c>
      <c r="AO50" s="343">
        <f>IF(OR('H(R+S+L)'!AQ50="N.P.",'H(R+S+L)'!AQ50="",Moore!AO50=""),"",'H(R+S+L)'!AQ50-Moore!AO50)</f>
      </c>
      <c r="AP50" s="343">
        <f>IF(OR('H(R+S+L)'!AR50="N.P.",'H(R+S+L)'!AR50="",Moore!AP50=""),"",'H(R+S+L)'!AR50-Moore!AP50)</f>
      </c>
      <c r="AQ50" s="343">
        <f>IF(OR('H(R+S+L)'!AS50="N.P.",'H(R+S+L)'!AS50="",Moore!AQ50=""),"",'H(R+S+L)'!AS50-Moore!AQ50)</f>
      </c>
      <c r="AR50" s="343">
        <f>IF(OR('H(R+S+L)'!AT50="N.P.",'H(R+S+L)'!AT50="",Moore!AR50=""),"",'H(R+S+L)'!AT50-Moore!AR50)</f>
      </c>
      <c r="AS50" s="343">
        <f>IF(OR('H(R+S+L)'!AU50="N.P.",'H(R+S+L)'!AU50="",Moore!AS50=""),"",'H(R+S+L)'!AU50-Moore!AS50)</f>
      </c>
      <c r="AT50" s="343">
        <f>IF(OR('H(R+S+L)'!AV50="N.P.",'H(R+S+L)'!AV50="",Moore!AT50=""),"",'H(R+S+L)'!AV50-Moore!AT50)</f>
      </c>
      <c r="AU50" s="344">
        <f>IF(OR('H(R+S+L)'!AW50="N.P.",'H(R+S+L)'!AW50="",Moore!AU50=""),"",'H(R+S+L)'!AW50-Moore!AU50)</f>
      </c>
      <c r="AV50" s="348">
        <f>IF(OR('H(R+S+L)'!AX50="N.P.",'H(R+S+L)'!AX50="",Moore!AV50=""),"",'H(R+S+L)'!AX50-Moore!AV50)</f>
      </c>
      <c r="AW50" s="343">
        <f>IF(OR('H(R+S+L)'!AY50="N.P.",'H(R+S+L)'!AY50="",Moore!AW50=""),"",'H(R+S+L)'!AY50-Moore!AW50)</f>
      </c>
      <c r="AX50" s="343">
        <f>IF(OR('H(R+S+L)'!AZ50="N.P.",'H(R+S+L)'!AZ50="",Moore!AX50=""),"",'H(R+S+L)'!AZ50-Moore!AX50)</f>
      </c>
      <c r="AY50" s="343">
        <f>IF(OR('H(R+S+L)'!BA50="N.P.",'H(R+S+L)'!BA50="",Moore!AY50=""),"",'H(R+S+L)'!BA50-Moore!AY50)</f>
      </c>
      <c r="AZ50" s="343">
        <f>IF(OR('H(R+S+L)'!BB50="N.P.",'H(R+S+L)'!BB50="",Moore!AZ50=""),"",'H(R+S+L)'!BB50-Moore!AZ50)</f>
      </c>
      <c r="BA50" s="343">
        <f>IF(OR('H(R+S+L)'!BC50="N.P.",'H(R+S+L)'!BC50="",Moore!BA50=""),"",'H(R+S+L)'!BC50-Moore!BA50)</f>
      </c>
      <c r="BB50" s="343">
        <f>IF(OR('H(R+S+L)'!BD50="N.P.",'H(R+S+L)'!BD50="",Moore!BB50=""),"",'H(R+S+L)'!BD50-Moore!BB50)</f>
      </c>
      <c r="BC50" s="343">
        <f>IF(OR('H(R+S+L)'!BE50="N.P.",'H(R+S+L)'!BE50="",Moore!BC50=""),"",'H(R+S+L)'!BE50-Moore!BC50)</f>
      </c>
      <c r="BD50" s="343">
        <f>IF(OR('H(R+S+L)'!BF50="N.P.",'H(R+S+L)'!BF50="",Moore!BD50=""),"",'H(R+S+L)'!BF50-Moore!BD50)</f>
      </c>
      <c r="BE50" s="343">
        <f>IF(OR('H(R+S+L)'!BG50="N.P.",'H(R+S+L)'!BG50="",Moore!BE50=""),"",'H(R+S+L)'!BG50-Moore!BE50)</f>
      </c>
      <c r="BF50" s="343">
        <f>IF(OR('H(R+S+L)'!BH50="N.P.",'H(R+S+L)'!BH50="",Moore!BF50=""),"",'H(R+S+L)'!BH50-Moore!BF50)</f>
      </c>
      <c r="BG50" s="343">
        <f>IF(OR('H(R+S+L)'!BI50="N.P.",'H(R+S+L)'!BI50="",Moore!BG50=""),"",'H(R+S+L)'!BI50-Moore!BG50)</f>
      </c>
      <c r="BH50" s="344">
        <f>IF(OR('H(R+S+L)'!BJ50="N.P.",'H(R+S+L)'!BJ50="",Moore!BH50=""),"",'H(R+S+L)'!BJ50-Moore!BH50)</f>
      </c>
    </row>
    <row r="51" spans="1:60" ht="13.5" thickTop="1">
      <c r="A51" s="790">
        <v>5.61E-16</v>
      </c>
      <c r="B51" s="791"/>
      <c r="G51" s="788">
        <f>SUM(H51:H63)/13</f>
        <v>-0.0005443392952796645</v>
      </c>
      <c r="H51" s="336">
        <f>'H(R+S+L)'!J51*1-Moore!H51</f>
        <v>-0.0012686382833635435</v>
      </c>
      <c r="I51" s="332">
        <v>7</v>
      </c>
      <c r="J51" s="333">
        <v>0.5</v>
      </c>
      <c r="K51" s="334" t="s">
        <v>7</v>
      </c>
      <c r="L51" s="697">
        <f>IF(OR('H(R+S+L)'!N51="N.P.",'H(R+S+L)'!N51="",Moore!L51=""),"",'H(R+S+L)'!N51-Moore!L51)</f>
      </c>
      <c r="M51" s="349">
        <f>IF(OR('H(R+S+L)'!O51="N.P.",'H(R+S+L)'!O51="",Moore!M51=""),"",'H(R+S+L)'!O51-Moore!M51)</f>
      </c>
      <c r="N51" s="345">
        <f>IF(OR('H(R+S+L)'!P51="N.P.",'H(R+S+L)'!P51="",Moore!N51=""),"",'H(R+S+L)'!P51-Moore!N51)</f>
      </c>
      <c r="O51" s="346">
        <f>IF(OR('H(R+S+L)'!Q51="N.P.",'H(R+S+L)'!Q51="",Moore!O51=""),"",'H(R+S+L)'!Q51-Moore!O51)</f>
      </c>
      <c r="P51" s="349">
        <f>IF(OR('H(R+S+L)'!R51="N.P.",'H(R+S+L)'!R51="",Moore!P51=""),"",'H(R+S+L)'!R51-Moore!P51)</f>
      </c>
      <c r="Q51" s="345">
        <f>IF(OR('H(R+S+L)'!S51="N.P.",'H(R+S+L)'!S51="",Moore!Q51=""),"",'H(R+S+L)'!S51-Moore!Q51)</f>
      </c>
      <c r="R51" s="345">
        <f>IF(OR('H(R+S+L)'!T51="N.P.",'H(R+S+L)'!T51="",Moore!R51=""),"",'H(R+S+L)'!T51-Moore!R51)</f>
      </c>
      <c r="S51" s="345">
        <f>IF(OR('H(R+S+L)'!U51="N.P.",'H(R+S+L)'!U51="",Moore!S51=""),"",'H(R+S+L)'!U51-Moore!S51)</f>
      </c>
      <c r="T51" s="346">
        <f>IF(OR('H(R+S+L)'!V51="N.P.",'H(R+S+L)'!V51="",Moore!T51=""),"",'H(R+S+L)'!V51-Moore!T51)</f>
      </c>
      <c r="U51" s="349">
        <f>IF(OR('H(R+S+L)'!W51="N.P.",'H(R+S+L)'!W51="",Moore!U51=""),"",'H(R+S+L)'!W51-Moore!U51)</f>
      </c>
      <c r="V51" s="345">
        <f>IF(OR('H(R+S+L)'!X51="N.P.",'H(R+S+L)'!X51="",Moore!V51=""),"",'H(R+S+L)'!X51-Moore!V51)</f>
      </c>
      <c r="W51" s="345">
        <f>IF(OR('H(R+S+L)'!Y51="N.P.",'H(R+S+L)'!Y51="",Moore!W51=""),"",'H(R+S+L)'!Y51-Moore!W51)</f>
      </c>
      <c r="X51" s="345">
        <f>IF(OR('H(R+S+L)'!Z51="N.P.",'H(R+S+L)'!Z51="",Moore!X51=""),"",'H(R+S+L)'!Z51-Moore!X51)</f>
      </c>
      <c r="Y51" s="345">
        <f>IF(OR('H(R+S+L)'!AA51="N.P.",'H(R+S+L)'!AA51="",Moore!Y51=""),"",'H(R+S+L)'!AA51-Moore!Y51)</f>
      </c>
      <c r="Z51" s="345">
        <f>IF(OR('H(R+S+L)'!AB51="N.P.",'H(R+S+L)'!AB51="",Moore!Z51=""),"",'H(R+S+L)'!AB51-Moore!Z51)</f>
      </c>
      <c r="AA51" s="346">
        <f>IF(OR('H(R+S+L)'!AC51="N.P.",'H(R+S+L)'!AC51="",Moore!AA51=""),"",'H(R+S+L)'!AC51-Moore!AA51)</f>
      </c>
      <c r="AB51" s="349">
        <f>IF(OR('H(R+S+L)'!AD51="N.P.",'H(R+S+L)'!AD51="",Moore!AB51=""),"",'H(R+S+L)'!AD51-Moore!AB51)</f>
      </c>
      <c r="AC51" s="345">
        <f>IF(OR('H(R+S+L)'!AE51="N.P.",'H(R+S+L)'!AE51="",Moore!AC51=""),"",'H(R+S+L)'!AE51-Moore!AC51)</f>
      </c>
      <c r="AD51" s="345">
        <f>IF(OR('H(R+S+L)'!AF51="N.P.",'H(R+S+L)'!AF51="",Moore!AD51=""),"",'H(R+S+L)'!AF51-Moore!AD51)</f>
      </c>
      <c r="AE51" s="345">
        <f>IF(OR('H(R+S+L)'!AG51="N.P.",'H(R+S+L)'!AG51="",Moore!AE51=""),"",'H(R+S+L)'!AG51-Moore!AE51)</f>
      </c>
      <c r="AF51" s="345">
        <f>IF(OR('H(R+S+L)'!AH51="N.P.",'H(R+S+L)'!AH51="",Moore!AF51=""),"",'H(R+S+L)'!AH51-Moore!AF51)</f>
      </c>
      <c r="AG51" s="345">
        <f>IF(OR('H(R+S+L)'!AI51="N.P.",'H(R+S+L)'!AI51="",Moore!AG51=""),"",'H(R+S+L)'!AI51-Moore!AG51)</f>
      </c>
      <c r="AH51" s="345">
        <f>IF(OR('H(R+S+L)'!AJ51="N.P.",'H(R+S+L)'!AJ51="",Moore!AH51=""),"",'H(R+S+L)'!AJ51-Moore!AH51)</f>
      </c>
      <c r="AI51" s="345">
        <f>IF(OR('H(R+S+L)'!AK51="N.P.",'H(R+S+L)'!AK51="",Moore!AI51=""),"",'H(R+S+L)'!AK51-Moore!AI51)</f>
      </c>
      <c r="AJ51" s="346">
        <f>IF(OR('H(R+S+L)'!AL51="N.P.",'H(R+S+L)'!AL51="",Moore!AJ51=""),"",'H(R+S+L)'!AL51-Moore!AJ51)</f>
      </c>
      <c r="AK51" s="349">
        <f>IF(OR('H(R+S+L)'!AM51="N.P.",'H(R+S+L)'!AM51="",Moore!AK51=""),"",'H(R+S+L)'!AM51-Moore!AK51)</f>
      </c>
      <c r="AL51" s="345">
        <f>IF(OR('H(R+S+L)'!AN51="N.P.",'H(R+S+L)'!AN51="",Moore!AL51=""),"",'H(R+S+L)'!AN51-Moore!AL51)</f>
      </c>
      <c r="AM51" s="345">
        <f>IF(OR('H(R+S+L)'!AO51="N.P.",'H(R+S+L)'!AO51="",Moore!AM51=""),"",'H(R+S+L)'!AO51-Moore!AM51)</f>
      </c>
      <c r="AN51" s="345">
        <f>IF(OR('H(R+S+L)'!AP51="N.P.",'H(R+S+L)'!AP51="",Moore!AN51=""),"",'H(R+S+L)'!AP51-Moore!AN51)</f>
      </c>
      <c r="AO51" s="345">
        <f>IF(OR('H(R+S+L)'!AQ51="N.P.",'H(R+S+L)'!AQ51="",Moore!AO51=""),"",'H(R+S+L)'!AQ51-Moore!AO51)</f>
      </c>
      <c r="AP51" s="345">
        <f>IF(OR('H(R+S+L)'!AR51="N.P.",'H(R+S+L)'!AR51="",Moore!AP51=""),"",'H(R+S+L)'!AR51-Moore!AP51)</f>
      </c>
      <c r="AQ51" s="345">
        <f>IF(OR('H(R+S+L)'!AS51="N.P.",'H(R+S+L)'!AS51="",Moore!AQ51=""),"",'H(R+S+L)'!AS51-Moore!AQ51)</f>
      </c>
      <c r="AR51" s="345">
        <f>IF(OR('H(R+S+L)'!AT51="N.P.",'H(R+S+L)'!AT51="",Moore!AR51=""),"",'H(R+S+L)'!AT51-Moore!AR51)</f>
      </c>
      <c r="AS51" s="345">
        <f>IF(OR('H(R+S+L)'!AU51="N.P.",'H(R+S+L)'!AU51="",Moore!AS51=""),"",'H(R+S+L)'!AU51-Moore!AS51)</f>
      </c>
      <c r="AT51" s="345">
        <f>IF(OR('H(R+S+L)'!AV51="N.P.",'H(R+S+L)'!AV51="",Moore!AT51=""),"",'H(R+S+L)'!AV51-Moore!AT51)</f>
      </c>
      <c r="AU51" s="346">
        <f>IF(OR('H(R+S+L)'!AW51="N.P.",'H(R+S+L)'!AW51="",Moore!AU51=""),"",'H(R+S+L)'!AW51-Moore!AU51)</f>
      </c>
      <c r="AV51" s="349">
        <f>IF(OR('H(R+S+L)'!AX51="N.P.",'H(R+S+L)'!AX51="",Moore!AV51=""),"",'H(R+S+L)'!AX51-Moore!AV51)</f>
      </c>
      <c r="AW51" s="345">
        <f>IF(OR('H(R+S+L)'!AY51="N.P.",'H(R+S+L)'!AY51="",Moore!AW51=""),"",'H(R+S+L)'!AY51-Moore!AW51)</f>
      </c>
      <c r="AX51" s="345">
        <f>IF(OR('H(R+S+L)'!AZ51="N.P.",'H(R+S+L)'!AZ51="",Moore!AX51=""),"",'H(R+S+L)'!AZ51-Moore!AX51)</f>
      </c>
      <c r="AY51" s="345">
        <f>IF(OR('H(R+S+L)'!BA51="N.P.",'H(R+S+L)'!BA51="",Moore!AY51=""),"",'H(R+S+L)'!BA51-Moore!AY51)</f>
      </c>
      <c r="AZ51" s="345">
        <f>IF(OR('H(R+S+L)'!BB51="N.P.",'H(R+S+L)'!BB51="",Moore!AZ51=""),"",'H(R+S+L)'!BB51-Moore!AZ51)</f>
      </c>
      <c r="BA51" s="345">
        <f>IF(OR('H(R+S+L)'!BC51="N.P.",'H(R+S+L)'!BC51="",Moore!BA51=""),"",'H(R+S+L)'!BC51-Moore!BA51)</f>
      </c>
      <c r="BB51" s="345">
        <f>IF(OR('H(R+S+L)'!BD51="N.P.",'H(R+S+L)'!BD51="",Moore!BB51=""),"",'H(R+S+L)'!BD51-Moore!BB51)</f>
      </c>
      <c r="BC51" s="345">
        <f>IF(OR('H(R+S+L)'!BE51="N.P.",'H(R+S+L)'!BE51="",Moore!BC51=""),"",'H(R+S+L)'!BE51-Moore!BC51)</f>
      </c>
      <c r="BD51" s="345">
        <f>IF(OR('H(R+S+L)'!BF51="N.P.",'H(R+S+L)'!BF51="",Moore!BD51=""),"",'H(R+S+L)'!BF51-Moore!BD51)</f>
      </c>
      <c r="BE51" s="345">
        <f>IF(OR('H(R+S+L)'!BG51="N.P.",'H(R+S+L)'!BG51="",Moore!BE51=""),"",'H(R+S+L)'!BG51-Moore!BE51)</f>
      </c>
      <c r="BF51" s="345">
        <f>IF(OR('H(R+S+L)'!BH51="N.P.",'H(R+S+L)'!BH51="",Moore!BF51=""),"",'H(R+S+L)'!BH51-Moore!BF51)</f>
      </c>
      <c r="BG51" s="345">
        <f>IF(OR('H(R+S+L)'!BI51="N.P.",'H(R+S+L)'!BI51="",Moore!BG51=""),"",'H(R+S+L)'!BI51-Moore!BG51)</f>
      </c>
      <c r="BH51" s="346">
        <f>IF(OR('H(R+S+L)'!BJ51="N.P.",'H(R+S+L)'!BJ51="",Moore!BH51=""),"",'H(R+S+L)'!BJ51-Moore!BH51)</f>
      </c>
    </row>
    <row r="52" spans="7:60" ht="12.75">
      <c r="G52" s="788"/>
      <c r="H52" s="337">
        <f>'H(R+S+L)'!J52*1-Moore!H52</f>
        <v>-0.0023016678605927154</v>
      </c>
      <c r="I52" s="297">
        <v>7</v>
      </c>
      <c r="J52" s="298">
        <v>1.5</v>
      </c>
      <c r="K52" s="296" t="s">
        <v>8</v>
      </c>
      <c r="L52" s="695">
        <f>IF(OR('H(R+S+L)'!N52="N.P.",'H(R+S+L)'!N52="",Moore!L52=""),"",'H(R+S+L)'!N52-Moore!L52)</f>
        <v>2.636027261360141E-06</v>
      </c>
      <c r="M52" s="347">
        <f>IF(OR('H(R+S+L)'!O52="N.P.",'H(R+S+L)'!O52="",Moore!M52=""),"",'H(R+S+L)'!O52-Moore!M52)</f>
      </c>
      <c r="N52" s="341">
        <f>IF(OR('H(R+S+L)'!P52="N.P.",'H(R+S+L)'!P52="",Moore!N52=""),"",'H(R+S+L)'!P52-Moore!N52)</f>
      </c>
      <c r="O52" s="342">
        <f>IF(OR('H(R+S+L)'!Q52="N.P.",'H(R+S+L)'!Q52="",Moore!O52=""),"",'H(R+S+L)'!Q52-Moore!O52)</f>
      </c>
      <c r="P52" s="347">
        <f>IF(OR('H(R+S+L)'!R52="N.P.",'H(R+S+L)'!R52="",Moore!P52=""),"",'H(R+S+L)'!R52-Moore!P52)</f>
      </c>
      <c r="Q52" s="341">
        <f>IF(OR('H(R+S+L)'!S52="N.P.",'H(R+S+L)'!S52="",Moore!Q52=""),"",'H(R+S+L)'!S52-Moore!Q52)</f>
      </c>
      <c r="R52" s="341">
        <f>IF(OR('H(R+S+L)'!T52="N.P.",'H(R+S+L)'!T52="",Moore!R52=""),"",'H(R+S+L)'!T52-Moore!R52)</f>
      </c>
      <c r="S52" s="341">
        <f>IF(OR('H(R+S+L)'!U52="N.P.",'H(R+S+L)'!U52="",Moore!S52=""),"",'H(R+S+L)'!U52-Moore!S52)</f>
      </c>
      <c r="T52" s="342">
        <f>IF(OR('H(R+S+L)'!V52="N.P.",'H(R+S+L)'!V52="",Moore!T52=""),"",'H(R+S+L)'!V52-Moore!T52)</f>
      </c>
      <c r="U52" s="347">
        <f>IF(OR('H(R+S+L)'!W52="N.P.",'H(R+S+L)'!W52="",Moore!U52=""),"",'H(R+S+L)'!W52-Moore!U52)</f>
      </c>
      <c r="V52" s="341">
        <f>IF(OR('H(R+S+L)'!X52="N.P.",'H(R+S+L)'!X52="",Moore!V52=""),"",'H(R+S+L)'!X52-Moore!V52)</f>
      </c>
      <c r="W52" s="341">
        <f>IF(OR('H(R+S+L)'!Y52="N.P.",'H(R+S+L)'!Y52="",Moore!W52=""),"",'H(R+S+L)'!Y52-Moore!W52)</f>
      </c>
      <c r="X52" s="341">
        <f>IF(OR('H(R+S+L)'!Z52="N.P.",'H(R+S+L)'!Z52="",Moore!X52=""),"",'H(R+S+L)'!Z52-Moore!X52)</f>
      </c>
      <c r="Y52" s="341">
        <f>IF(OR('H(R+S+L)'!AA52="N.P.",'H(R+S+L)'!AA52="",Moore!Y52=""),"",'H(R+S+L)'!AA52-Moore!Y52)</f>
      </c>
      <c r="Z52" s="341">
        <f>IF(OR('H(R+S+L)'!AB52="N.P.",'H(R+S+L)'!AB52="",Moore!Z52=""),"",'H(R+S+L)'!AB52-Moore!Z52)</f>
      </c>
      <c r="AA52" s="342">
        <f>IF(OR('H(R+S+L)'!AC52="N.P.",'H(R+S+L)'!AC52="",Moore!AA52=""),"",'H(R+S+L)'!AC52-Moore!AA52)</f>
      </c>
      <c r="AB52" s="347">
        <f>IF(OR('H(R+S+L)'!AD52="N.P.",'H(R+S+L)'!AD52="",Moore!AB52=""),"",'H(R+S+L)'!AD52-Moore!AB52)</f>
      </c>
      <c r="AC52" s="341">
        <f>IF(OR('H(R+S+L)'!AE52="N.P.",'H(R+S+L)'!AE52="",Moore!AC52=""),"",'H(R+S+L)'!AE52-Moore!AC52)</f>
      </c>
      <c r="AD52" s="341">
        <f>IF(OR('H(R+S+L)'!AF52="N.P.",'H(R+S+L)'!AF52="",Moore!AD52=""),"",'H(R+S+L)'!AF52-Moore!AD52)</f>
      </c>
      <c r="AE52" s="341">
        <f>IF(OR('H(R+S+L)'!AG52="N.P.",'H(R+S+L)'!AG52="",Moore!AE52=""),"",'H(R+S+L)'!AG52-Moore!AE52)</f>
      </c>
      <c r="AF52" s="341">
        <f>IF(OR('H(R+S+L)'!AH52="N.P.",'H(R+S+L)'!AH52="",Moore!AF52=""),"",'H(R+S+L)'!AH52-Moore!AF52)</f>
      </c>
      <c r="AG52" s="341">
        <f>IF(OR('H(R+S+L)'!AI52="N.P.",'H(R+S+L)'!AI52="",Moore!AG52=""),"",'H(R+S+L)'!AI52-Moore!AG52)</f>
      </c>
      <c r="AH52" s="341">
        <f>IF(OR('H(R+S+L)'!AJ52="N.P.",'H(R+S+L)'!AJ52="",Moore!AH52=""),"",'H(R+S+L)'!AJ52-Moore!AH52)</f>
      </c>
      <c r="AI52" s="341">
        <f>IF(OR('H(R+S+L)'!AK52="N.P.",'H(R+S+L)'!AK52="",Moore!AI52=""),"",'H(R+S+L)'!AK52-Moore!AI52)</f>
      </c>
      <c r="AJ52" s="342">
        <f>IF(OR('H(R+S+L)'!AL52="N.P.",'H(R+S+L)'!AL52="",Moore!AJ52=""),"",'H(R+S+L)'!AL52-Moore!AJ52)</f>
      </c>
      <c r="AK52" s="347">
        <f>IF(OR('H(R+S+L)'!AM52="N.P.",'H(R+S+L)'!AM52="",Moore!AK52=""),"",'H(R+S+L)'!AM52-Moore!AK52)</f>
      </c>
      <c r="AL52" s="341">
        <f>IF(OR('H(R+S+L)'!AN52="N.P.",'H(R+S+L)'!AN52="",Moore!AL52=""),"",'H(R+S+L)'!AN52-Moore!AL52)</f>
      </c>
      <c r="AM52" s="341">
        <f>IF(OR('H(R+S+L)'!AO52="N.P.",'H(R+S+L)'!AO52="",Moore!AM52=""),"",'H(R+S+L)'!AO52-Moore!AM52)</f>
      </c>
      <c r="AN52" s="341">
        <f>IF(OR('H(R+S+L)'!AP52="N.P.",'H(R+S+L)'!AP52="",Moore!AN52=""),"",'H(R+S+L)'!AP52-Moore!AN52)</f>
      </c>
      <c r="AO52" s="341">
        <f>IF(OR('H(R+S+L)'!AQ52="N.P.",'H(R+S+L)'!AQ52="",Moore!AO52=""),"",'H(R+S+L)'!AQ52-Moore!AO52)</f>
      </c>
      <c r="AP52" s="341">
        <f>IF(OR('H(R+S+L)'!AR52="N.P.",'H(R+S+L)'!AR52="",Moore!AP52=""),"",'H(R+S+L)'!AR52-Moore!AP52)</f>
      </c>
      <c r="AQ52" s="341">
        <f>IF(OR('H(R+S+L)'!AS52="N.P.",'H(R+S+L)'!AS52="",Moore!AQ52=""),"",'H(R+S+L)'!AS52-Moore!AQ52)</f>
      </c>
      <c r="AR52" s="341">
        <f>IF(OR('H(R+S+L)'!AT52="N.P.",'H(R+S+L)'!AT52="",Moore!AR52=""),"",'H(R+S+L)'!AT52-Moore!AR52)</f>
      </c>
      <c r="AS52" s="341">
        <f>IF(OR('H(R+S+L)'!AU52="N.P.",'H(R+S+L)'!AU52="",Moore!AS52=""),"",'H(R+S+L)'!AU52-Moore!AS52)</f>
      </c>
      <c r="AT52" s="341">
        <f>IF(OR('H(R+S+L)'!AV52="N.P.",'H(R+S+L)'!AV52="",Moore!AT52=""),"",'H(R+S+L)'!AV52-Moore!AT52)</f>
      </c>
      <c r="AU52" s="342">
        <f>IF(OR('H(R+S+L)'!AW52="N.P.",'H(R+S+L)'!AW52="",Moore!AU52=""),"",'H(R+S+L)'!AW52-Moore!AU52)</f>
      </c>
      <c r="AV52" s="347">
        <f>IF(OR('H(R+S+L)'!AX52="N.P.",'H(R+S+L)'!AX52="",Moore!AV52=""),"",'H(R+S+L)'!AX52-Moore!AV52)</f>
      </c>
      <c r="AW52" s="341">
        <f>IF(OR('H(R+S+L)'!AY52="N.P.",'H(R+S+L)'!AY52="",Moore!AW52=""),"",'H(R+S+L)'!AY52-Moore!AW52)</f>
      </c>
      <c r="AX52" s="341">
        <f>IF(OR('H(R+S+L)'!AZ52="N.P.",'H(R+S+L)'!AZ52="",Moore!AX52=""),"",'H(R+S+L)'!AZ52-Moore!AX52)</f>
      </c>
      <c r="AY52" s="341">
        <f>IF(OR('H(R+S+L)'!BA52="N.P.",'H(R+S+L)'!BA52="",Moore!AY52=""),"",'H(R+S+L)'!BA52-Moore!AY52)</f>
      </c>
      <c r="AZ52" s="341">
        <f>IF(OR('H(R+S+L)'!BB52="N.P.",'H(R+S+L)'!BB52="",Moore!AZ52=""),"",'H(R+S+L)'!BB52-Moore!AZ52)</f>
      </c>
      <c r="BA52" s="341">
        <f>IF(OR('H(R+S+L)'!BC52="N.P.",'H(R+S+L)'!BC52="",Moore!BA52=""),"",'H(R+S+L)'!BC52-Moore!BA52)</f>
      </c>
      <c r="BB52" s="341">
        <f>IF(OR('H(R+S+L)'!BD52="N.P.",'H(R+S+L)'!BD52="",Moore!BB52=""),"",'H(R+S+L)'!BD52-Moore!BB52)</f>
      </c>
      <c r="BC52" s="341">
        <f>IF(OR('H(R+S+L)'!BE52="N.P.",'H(R+S+L)'!BE52="",Moore!BC52=""),"",'H(R+S+L)'!BE52-Moore!BC52)</f>
      </c>
      <c r="BD52" s="341">
        <f>IF(OR('H(R+S+L)'!BF52="N.P.",'H(R+S+L)'!BF52="",Moore!BD52=""),"",'H(R+S+L)'!BF52-Moore!BD52)</f>
      </c>
      <c r="BE52" s="341">
        <f>IF(OR('H(R+S+L)'!BG52="N.P.",'H(R+S+L)'!BG52="",Moore!BE52=""),"",'H(R+S+L)'!BG52-Moore!BE52)</f>
      </c>
      <c r="BF52" s="341">
        <f>IF(OR('H(R+S+L)'!BH52="N.P.",'H(R+S+L)'!BH52="",Moore!BF52=""),"",'H(R+S+L)'!BH52-Moore!BF52)</f>
      </c>
      <c r="BG52" s="341">
        <f>IF(OR('H(R+S+L)'!BI52="N.P.",'H(R+S+L)'!BI52="",Moore!BG52=""),"",'H(R+S+L)'!BI52-Moore!BG52)</f>
      </c>
      <c r="BH52" s="342">
        <f>IF(OR('H(R+S+L)'!BJ52="N.P.",'H(R+S+L)'!BJ52="",Moore!BH52=""),"",'H(R+S+L)'!BJ52-Moore!BH52)</f>
      </c>
    </row>
    <row r="53" spans="7:60" ht="12.75">
      <c r="G53" s="788"/>
      <c r="H53" s="337">
        <f>'H(R+S+L)'!J53*1-Moore!H53</f>
        <v>-0.0010390137176727876</v>
      </c>
      <c r="I53" s="297">
        <v>7</v>
      </c>
      <c r="J53" s="298">
        <v>1.5</v>
      </c>
      <c r="K53" s="296" t="s">
        <v>9</v>
      </c>
      <c r="L53" s="695">
        <f>IF(OR('H(R+S+L)'!N53="N.P.",'H(R+S+L)'!N53="",Moore!L53=""),"",'H(R+S+L)'!N53-Moore!L53)</f>
        <v>3.606644440878881E-07</v>
      </c>
      <c r="M53" s="347">
        <f>IF(OR('H(R+S+L)'!O53="N.P.",'H(R+S+L)'!O53="",Moore!M53=""),"",'H(R+S+L)'!O53-Moore!M53)</f>
      </c>
      <c r="N53" s="341">
        <f>IF(OR('H(R+S+L)'!P53="N.P.",'H(R+S+L)'!P53="",Moore!N53=""),"",'H(R+S+L)'!P53-Moore!N53)</f>
      </c>
      <c r="O53" s="342">
        <f>IF(OR('H(R+S+L)'!Q53="N.P.",'H(R+S+L)'!Q53="",Moore!O53=""),"",'H(R+S+L)'!Q53-Moore!O53)</f>
      </c>
      <c r="P53" s="347">
        <f>IF(OR('H(R+S+L)'!R53="N.P.",'H(R+S+L)'!R53="",Moore!P53=""),"",'H(R+S+L)'!R53-Moore!P53)</f>
      </c>
      <c r="Q53" s="341">
        <f>IF(OR('H(R+S+L)'!S53="N.P.",'H(R+S+L)'!S53="",Moore!Q53=""),"",'H(R+S+L)'!S53-Moore!Q53)</f>
      </c>
      <c r="R53" s="341">
        <f>IF(OR('H(R+S+L)'!T53="N.P.",'H(R+S+L)'!T53="",Moore!R53=""),"",'H(R+S+L)'!T53-Moore!R53)</f>
      </c>
      <c r="S53" s="341">
        <f>IF(OR('H(R+S+L)'!U53="N.P.",'H(R+S+L)'!U53="",Moore!S53=""),"",'H(R+S+L)'!U53-Moore!S53)</f>
      </c>
      <c r="T53" s="342">
        <f>IF(OR('H(R+S+L)'!V53="N.P.",'H(R+S+L)'!V53="",Moore!T53=""),"",'H(R+S+L)'!V53-Moore!T53)</f>
      </c>
      <c r="U53" s="347">
        <f>IF(OR('H(R+S+L)'!W53="N.P.",'H(R+S+L)'!W53="",Moore!U53=""),"",'H(R+S+L)'!W53-Moore!U53)</f>
      </c>
      <c r="V53" s="341">
        <f>IF(OR('H(R+S+L)'!X53="N.P.",'H(R+S+L)'!X53="",Moore!V53=""),"",'H(R+S+L)'!X53-Moore!V53)</f>
      </c>
      <c r="W53" s="341">
        <f>IF(OR('H(R+S+L)'!Y53="N.P.",'H(R+S+L)'!Y53="",Moore!W53=""),"",'H(R+S+L)'!Y53-Moore!W53)</f>
      </c>
      <c r="X53" s="341">
        <f>IF(OR('H(R+S+L)'!Z53="N.P.",'H(R+S+L)'!Z53="",Moore!X53=""),"",'H(R+S+L)'!Z53-Moore!X53)</f>
      </c>
      <c r="Y53" s="341">
        <f>IF(OR('H(R+S+L)'!AA53="N.P.",'H(R+S+L)'!AA53="",Moore!Y53=""),"",'H(R+S+L)'!AA53-Moore!Y53)</f>
      </c>
      <c r="Z53" s="341">
        <f>IF(OR('H(R+S+L)'!AB53="N.P.",'H(R+S+L)'!AB53="",Moore!Z53=""),"",'H(R+S+L)'!AB53-Moore!Z53)</f>
      </c>
      <c r="AA53" s="342">
        <f>IF(OR('H(R+S+L)'!AC53="N.P.",'H(R+S+L)'!AC53="",Moore!AA53=""),"",'H(R+S+L)'!AC53-Moore!AA53)</f>
      </c>
      <c r="AB53" s="347">
        <f>IF(OR('H(R+S+L)'!AD53="N.P.",'H(R+S+L)'!AD53="",Moore!AB53=""),"",'H(R+S+L)'!AD53-Moore!AB53)</f>
      </c>
      <c r="AC53" s="341">
        <f>IF(OR('H(R+S+L)'!AE53="N.P.",'H(R+S+L)'!AE53="",Moore!AC53=""),"",'H(R+S+L)'!AE53-Moore!AC53)</f>
      </c>
      <c r="AD53" s="341">
        <f>IF(OR('H(R+S+L)'!AF53="N.P.",'H(R+S+L)'!AF53="",Moore!AD53=""),"",'H(R+S+L)'!AF53-Moore!AD53)</f>
      </c>
      <c r="AE53" s="341">
        <f>IF(OR('H(R+S+L)'!AG53="N.P.",'H(R+S+L)'!AG53="",Moore!AE53=""),"",'H(R+S+L)'!AG53-Moore!AE53)</f>
      </c>
      <c r="AF53" s="341">
        <f>IF(OR('H(R+S+L)'!AH53="N.P.",'H(R+S+L)'!AH53="",Moore!AF53=""),"",'H(R+S+L)'!AH53-Moore!AF53)</f>
      </c>
      <c r="AG53" s="341">
        <f>IF(OR('H(R+S+L)'!AI53="N.P.",'H(R+S+L)'!AI53="",Moore!AG53=""),"",'H(R+S+L)'!AI53-Moore!AG53)</f>
      </c>
      <c r="AH53" s="341">
        <f>IF(OR('H(R+S+L)'!AJ53="N.P.",'H(R+S+L)'!AJ53="",Moore!AH53=""),"",'H(R+S+L)'!AJ53-Moore!AH53)</f>
      </c>
      <c r="AI53" s="341">
        <f>IF(OR('H(R+S+L)'!AK53="N.P.",'H(R+S+L)'!AK53="",Moore!AI53=""),"",'H(R+S+L)'!AK53-Moore!AI53)</f>
      </c>
      <c r="AJ53" s="342">
        <f>IF(OR('H(R+S+L)'!AL53="N.P.",'H(R+S+L)'!AL53="",Moore!AJ53=""),"",'H(R+S+L)'!AL53-Moore!AJ53)</f>
      </c>
      <c r="AK53" s="347">
        <f>IF(OR('H(R+S+L)'!AM53="N.P.",'H(R+S+L)'!AM53="",Moore!AK53=""),"",'H(R+S+L)'!AM53-Moore!AK53)</f>
      </c>
      <c r="AL53" s="341">
        <f>IF(OR('H(R+S+L)'!AN53="N.P.",'H(R+S+L)'!AN53="",Moore!AL53=""),"",'H(R+S+L)'!AN53-Moore!AL53)</f>
      </c>
      <c r="AM53" s="341">
        <f>IF(OR('H(R+S+L)'!AO53="N.P.",'H(R+S+L)'!AO53="",Moore!AM53=""),"",'H(R+S+L)'!AO53-Moore!AM53)</f>
      </c>
      <c r="AN53" s="341">
        <f>IF(OR('H(R+S+L)'!AP53="N.P.",'H(R+S+L)'!AP53="",Moore!AN53=""),"",'H(R+S+L)'!AP53-Moore!AN53)</f>
      </c>
      <c r="AO53" s="341">
        <f>IF(OR('H(R+S+L)'!AQ53="N.P.",'H(R+S+L)'!AQ53="",Moore!AO53=""),"",'H(R+S+L)'!AQ53-Moore!AO53)</f>
      </c>
      <c r="AP53" s="341">
        <f>IF(OR('H(R+S+L)'!AR53="N.P.",'H(R+S+L)'!AR53="",Moore!AP53=""),"",'H(R+S+L)'!AR53-Moore!AP53)</f>
      </c>
      <c r="AQ53" s="341">
        <f>IF(OR('H(R+S+L)'!AS53="N.P.",'H(R+S+L)'!AS53="",Moore!AQ53=""),"",'H(R+S+L)'!AS53-Moore!AQ53)</f>
      </c>
      <c r="AR53" s="341">
        <f>IF(OR('H(R+S+L)'!AT53="N.P.",'H(R+S+L)'!AT53="",Moore!AR53=""),"",'H(R+S+L)'!AT53-Moore!AR53)</f>
      </c>
      <c r="AS53" s="341">
        <f>IF(OR('H(R+S+L)'!AU53="N.P.",'H(R+S+L)'!AU53="",Moore!AS53=""),"",'H(R+S+L)'!AU53-Moore!AS53)</f>
      </c>
      <c r="AT53" s="341">
        <f>IF(OR('H(R+S+L)'!AV53="N.P.",'H(R+S+L)'!AV53="",Moore!AT53=""),"",'H(R+S+L)'!AV53-Moore!AT53)</f>
      </c>
      <c r="AU53" s="342">
        <f>IF(OR('H(R+S+L)'!AW53="N.P.",'H(R+S+L)'!AW53="",Moore!AU53=""),"",'H(R+S+L)'!AW53-Moore!AU53)</f>
      </c>
      <c r="AV53" s="347">
        <f>IF(OR('H(R+S+L)'!AX53="N.P.",'H(R+S+L)'!AX53="",Moore!AV53=""),"",'H(R+S+L)'!AX53-Moore!AV53)</f>
      </c>
      <c r="AW53" s="341">
        <f>IF(OR('H(R+S+L)'!AY53="N.P.",'H(R+S+L)'!AY53="",Moore!AW53=""),"",'H(R+S+L)'!AY53-Moore!AW53)</f>
      </c>
      <c r="AX53" s="341">
        <f>IF(OR('H(R+S+L)'!AZ53="N.P.",'H(R+S+L)'!AZ53="",Moore!AX53=""),"",'H(R+S+L)'!AZ53-Moore!AX53)</f>
      </c>
      <c r="AY53" s="341">
        <f>IF(OR('H(R+S+L)'!BA53="N.P.",'H(R+S+L)'!BA53="",Moore!AY53=""),"",'H(R+S+L)'!BA53-Moore!AY53)</f>
      </c>
      <c r="AZ53" s="341">
        <f>IF(OR('H(R+S+L)'!BB53="N.P.",'H(R+S+L)'!BB53="",Moore!AZ53=""),"",'H(R+S+L)'!BB53-Moore!AZ53)</f>
      </c>
      <c r="BA53" s="341">
        <f>IF(OR('H(R+S+L)'!BC53="N.P.",'H(R+S+L)'!BC53="",Moore!BA53=""),"",'H(R+S+L)'!BC53-Moore!BA53)</f>
      </c>
      <c r="BB53" s="341">
        <f>IF(OR('H(R+S+L)'!BD53="N.P.",'H(R+S+L)'!BD53="",Moore!BB53=""),"",'H(R+S+L)'!BD53-Moore!BB53)</f>
      </c>
      <c r="BC53" s="341">
        <f>IF(OR('H(R+S+L)'!BE53="N.P.",'H(R+S+L)'!BE53="",Moore!BC53=""),"",'H(R+S+L)'!BE53-Moore!BC53)</f>
      </c>
      <c r="BD53" s="341">
        <f>IF(OR('H(R+S+L)'!BF53="N.P.",'H(R+S+L)'!BF53="",Moore!BD53=""),"",'H(R+S+L)'!BF53-Moore!BD53)</f>
      </c>
      <c r="BE53" s="341">
        <f>IF(OR('H(R+S+L)'!BG53="N.P.",'H(R+S+L)'!BG53="",Moore!BE53=""),"",'H(R+S+L)'!BG53-Moore!BE53)</f>
      </c>
      <c r="BF53" s="341">
        <f>IF(OR('H(R+S+L)'!BH53="N.P.",'H(R+S+L)'!BH53="",Moore!BF53=""),"",'H(R+S+L)'!BH53-Moore!BF53)</f>
      </c>
      <c r="BG53" s="341">
        <f>IF(OR('H(R+S+L)'!BI53="N.P.",'H(R+S+L)'!BI53="",Moore!BG53=""),"",'H(R+S+L)'!BI53-Moore!BG53)</f>
      </c>
      <c r="BH53" s="342">
        <f>IF(OR('H(R+S+L)'!BJ53="N.P.",'H(R+S+L)'!BJ53="",Moore!BH53=""),"",'H(R+S+L)'!BJ53-Moore!BH53)</f>
      </c>
    </row>
    <row r="54" spans="7:60" ht="12.75">
      <c r="G54" s="788"/>
      <c r="H54" s="337">
        <f>'H(R+S+L)'!J54*1-Moore!H54</f>
        <v>0.0002821482630679384</v>
      </c>
      <c r="I54" s="297">
        <v>7</v>
      </c>
      <c r="J54" s="298">
        <v>2.5</v>
      </c>
      <c r="K54" s="296" t="s">
        <v>10</v>
      </c>
      <c r="L54" s="695">
        <f>IF(OR('H(R+S+L)'!N54="N.P.",'H(R+S+L)'!N54="",Moore!L54=""),"",'H(R+S+L)'!N54-Moore!L54)</f>
      </c>
      <c r="M54" s="347">
        <f>IF(OR('H(R+S+L)'!O54="N.P.",'H(R+S+L)'!O54="",Moore!M54=""),"",'H(R+S+L)'!O54-Moore!M54)</f>
      </c>
      <c r="N54" s="341">
        <f>IF(OR('H(R+S+L)'!P54="N.P.",'H(R+S+L)'!P54="",Moore!N54=""),"",'H(R+S+L)'!P54-Moore!N54)</f>
        <v>0.028166305605282105</v>
      </c>
      <c r="O54" s="342">
        <f>IF(OR('H(R+S+L)'!Q54="N.P.",'H(R+S+L)'!Q54="",Moore!O54=""),"",'H(R+S+L)'!Q54-Moore!O54)</f>
      </c>
      <c r="P54" s="347">
        <f>IF(OR('H(R+S+L)'!R54="N.P.",'H(R+S+L)'!R54="",Moore!P54=""),"",'H(R+S+L)'!R54-Moore!P54)</f>
      </c>
      <c r="Q54" s="341">
        <f>IF(OR('H(R+S+L)'!S54="N.P.",'H(R+S+L)'!S54="",Moore!Q54=""),"",'H(R+S+L)'!S54-Moore!Q54)</f>
      </c>
      <c r="R54" s="341">
        <f>IF(OR('H(R+S+L)'!T54="N.P.",'H(R+S+L)'!T54="",Moore!R54=""),"",'H(R+S+L)'!T54-Moore!R54)</f>
      </c>
      <c r="S54" s="341">
        <f>IF(OR('H(R+S+L)'!U54="N.P.",'H(R+S+L)'!U54="",Moore!S54=""),"",'H(R+S+L)'!U54-Moore!S54)</f>
      </c>
      <c r="T54" s="342">
        <f>IF(OR('H(R+S+L)'!V54="N.P.",'H(R+S+L)'!V54="",Moore!T54=""),"",'H(R+S+L)'!V54-Moore!T54)</f>
      </c>
      <c r="U54" s="347">
        <f>IF(OR('H(R+S+L)'!W54="N.P.",'H(R+S+L)'!W54="",Moore!U54=""),"",'H(R+S+L)'!W54-Moore!U54)</f>
      </c>
      <c r="V54" s="341">
        <f>IF(OR('H(R+S+L)'!X54="N.P.",'H(R+S+L)'!X54="",Moore!V54=""),"",'H(R+S+L)'!X54-Moore!V54)</f>
      </c>
      <c r="W54" s="341">
        <f>IF(OR('H(R+S+L)'!Y54="N.P.",'H(R+S+L)'!Y54="",Moore!W54=""),"",'H(R+S+L)'!Y54-Moore!W54)</f>
      </c>
      <c r="X54" s="341">
        <f>IF(OR('H(R+S+L)'!Z54="N.P.",'H(R+S+L)'!Z54="",Moore!X54=""),"",'H(R+S+L)'!Z54-Moore!X54)</f>
      </c>
      <c r="Y54" s="341">
        <f>IF(OR('H(R+S+L)'!AA54="N.P.",'H(R+S+L)'!AA54="",Moore!Y54=""),"",'H(R+S+L)'!AA54-Moore!Y54)</f>
      </c>
      <c r="Z54" s="341">
        <f>IF(OR('H(R+S+L)'!AB54="N.P.",'H(R+S+L)'!AB54="",Moore!Z54=""),"",'H(R+S+L)'!AB54-Moore!Z54)</f>
      </c>
      <c r="AA54" s="342">
        <f>IF(OR('H(R+S+L)'!AC54="N.P.",'H(R+S+L)'!AC54="",Moore!AA54=""),"",'H(R+S+L)'!AC54-Moore!AA54)</f>
      </c>
      <c r="AB54" s="347">
        <f>IF(OR('H(R+S+L)'!AD54="N.P.",'H(R+S+L)'!AD54="",Moore!AB54=""),"",'H(R+S+L)'!AD54-Moore!AB54)</f>
      </c>
      <c r="AC54" s="341">
        <f>IF(OR('H(R+S+L)'!AE54="N.P.",'H(R+S+L)'!AE54="",Moore!AC54=""),"",'H(R+S+L)'!AE54-Moore!AC54)</f>
      </c>
      <c r="AD54" s="341">
        <f>IF(OR('H(R+S+L)'!AF54="N.P.",'H(R+S+L)'!AF54="",Moore!AD54=""),"",'H(R+S+L)'!AF54-Moore!AD54)</f>
      </c>
      <c r="AE54" s="341">
        <f>IF(OR('H(R+S+L)'!AG54="N.P.",'H(R+S+L)'!AG54="",Moore!AE54=""),"",'H(R+S+L)'!AG54-Moore!AE54)</f>
      </c>
      <c r="AF54" s="341">
        <f>IF(OR('H(R+S+L)'!AH54="N.P.",'H(R+S+L)'!AH54="",Moore!AF54=""),"",'H(R+S+L)'!AH54-Moore!AF54)</f>
      </c>
      <c r="AG54" s="341">
        <f>IF(OR('H(R+S+L)'!AI54="N.P.",'H(R+S+L)'!AI54="",Moore!AG54=""),"",'H(R+S+L)'!AI54-Moore!AG54)</f>
      </c>
      <c r="AH54" s="341">
        <f>IF(OR('H(R+S+L)'!AJ54="N.P.",'H(R+S+L)'!AJ54="",Moore!AH54=""),"",'H(R+S+L)'!AJ54-Moore!AH54)</f>
      </c>
      <c r="AI54" s="341">
        <f>IF(OR('H(R+S+L)'!AK54="N.P.",'H(R+S+L)'!AK54="",Moore!AI54=""),"",'H(R+S+L)'!AK54-Moore!AI54)</f>
      </c>
      <c r="AJ54" s="342">
        <f>IF(OR('H(R+S+L)'!AL54="N.P.",'H(R+S+L)'!AL54="",Moore!AJ54=""),"",'H(R+S+L)'!AL54-Moore!AJ54)</f>
      </c>
      <c r="AK54" s="347">
        <f>IF(OR('H(R+S+L)'!AM54="N.P.",'H(R+S+L)'!AM54="",Moore!AK54=""),"",'H(R+S+L)'!AM54-Moore!AK54)</f>
      </c>
      <c r="AL54" s="341">
        <f>IF(OR('H(R+S+L)'!AN54="N.P.",'H(R+S+L)'!AN54="",Moore!AL54=""),"",'H(R+S+L)'!AN54-Moore!AL54)</f>
      </c>
      <c r="AM54" s="341">
        <f>IF(OR('H(R+S+L)'!AO54="N.P.",'H(R+S+L)'!AO54="",Moore!AM54=""),"",'H(R+S+L)'!AO54-Moore!AM54)</f>
      </c>
      <c r="AN54" s="341">
        <f>IF(OR('H(R+S+L)'!AP54="N.P.",'H(R+S+L)'!AP54="",Moore!AN54=""),"",'H(R+S+L)'!AP54-Moore!AN54)</f>
      </c>
      <c r="AO54" s="341">
        <f>IF(OR('H(R+S+L)'!AQ54="N.P.",'H(R+S+L)'!AQ54="",Moore!AO54=""),"",'H(R+S+L)'!AQ54-Moore!AO54)</f>
      </c>
      <c r="AP54" s="341">
        <f>IF(OR('H(R+S+L)'!AR54="N.P.",'H(R+S+L)'!AR54="",Moore!AP54=""),"",'H(R+S+L)'!AR54-Moore!AP54)</f>
      </c>
      <c r="AQ54" s="341">
        <f>IF(OR('H(R+S+L)'!AS54="N.P.",'H(R+S+L)'!AS54="",Moore!AQ54=""),"",'H(R+S+L)'!AS54-Moore!AQ54)</f>
      </c>
      <c r="AR54" s="341">
        <f>IF(OR('H(R+S+L)'!AT54="N.P.",'H(R+S+L)'!AT54="",Moore!AR54=""),"",'H(R+S+L)'!AT54-Moore!AR54)</f>
      </c>
      <c r="AS54" s="341">
        <f>IF(OR('H(R+S+L)'!AU54="N.P.",'H(R+S+L)'!AU54="",Moore!AS54=""),"",'H(R+S+L)'!AU54-Moore!AS54)</f>
      </c>
      <c r="AT54" s="341">
        <f>IF(OR('H(R+S+L)'!AV54="N.P.",'H(R+S+L)'!AV54="",Moore!AT54=""),"",'H(R+S+L)'!AV54-Moore!AT54)</f>
      </c>
      <c r="AU54" s="342">
        <f>IF(OR('H(R+S+L)'!AW54="N.P.",'H(R+S+L)'!AW54="",Moore!AU54=""),"",'H(R+S+L)'!AW54-Moore!AU54)</f>
      </c>
      <c r="AV54" s="347">
        <f>IF(OR('H(R+S+L)'!AX54="N.P.",'H(R+S+L)'!AX54="",Moore!AV54=""),"",'H(R+S+L)'!AX54-Moore!AV54)</f>
      </c>
      <c r="AW54" s="341">
        <f>IF(OR('H(R+S+L)'!AY54="N.P.",'H(R+S+L)'!AY54="",Moore!AW54=""),"",'H(R+S+L)'!AY54-Moore!AW54)</f>
      </c>
      <c r="AX54" s="341">
        <f>IF(OR('H(R+S+L)'!AZ54="N.P.",'H(R+S+L)'!AZ54="",Moore!AX54=""),"",'H(R+S+L)'!AZ54-Moore!AX54)</f>
      </c>
      <c r="AY54" s="341">
        <f>IF(OR('H(R+S+L)'!BA54="N.P.",'H(R+S+L)'!BA54="",Moore!AY54=""),"",'H(R+S+L)'!BA54-Moore!AY54)</f>
      </c>
      <c r="AZ54" s="341">
        <f>IF(OR('H(R+S+L)'!BB54="N.P.",'H(R+S+L)'!BB54="",Moore!AZ54=""),"",'H(R+S+L)'!BB54-Moore!AZ54)</f>
      </c>
      <c r="BA54" s="341">
        <f>IF(OR('H(R+S+L)'!BC54="N.P.",'H(R+S+L)'!BC54="",Moore!BA54=""),"",'H(R+S+L)'!BC54-Moore!BA54)</f>
      </c>
      <c r="BB54" s="341">
        <f>IF(OR('H(R+S+L)'!BD54="N.P.",'H(R+S+L)'!BD54="",Moore!BB54=""),"",'H(R+S+L)'!BD54-Moore!BB54)</f>
      </c>
      <c r="BC54" s="341">
        <f>IF(OR('H(R+S+L)'!BE54="N.P.",'H(R+S+L)'!BE54="",Moore!BC54=""),"",'H(R+S+L)'!BE54-Moore!BC54)</f>
      </c>
      <c r="BD54" s="341">
        <f>IF(OR('H(R+S+L)'!BF54="N.P.",'H(R+S+L)'!BF54="",Moore!BD54=""),"",'H(R+S+L)'!BF54-Moore!BD54)</f>
      </c>
      <c r="BE54" s="341">
        <f>IF(OR('H(R+S+L)'!BG54="N.P.",'H(R+S+L)'!BG54="",Moore!BE54=""),"",'H(R+S+L)'!BG54-Moore!BE54)</f>
      </c>
      <c r="BF54" s="341">
        <f>IF(OR('H(R+S+L)'!BH54="N.P.",'H(R+S+L)'!BH54="",Moore!BF54=""),"",'H(R+S+L)'!BH54-Moore!BF54)</f>
      </c>
      <c r="BG54" s="341">
        <f>IF(OR('H(R+S+L)'!BI54="N.P.",'H(R+S+L)'!BI54="",Moore!BG54=""),"",'H(R+S+L)'!BI54-Moore!BG54)</f>
      </c>
      <c r="BH54" s="342">
        <f>IF(OR('H(R+S+L)'!BJ54="N.P.",'H(R+S+L)'!BJ54="",Moore!BH54=""),"",'H(R+S+L)'!BJ54-Moore!BH54)</f>
      </c>
    </row>
    <row r="55" spans="7:60" ht="12.75">
      <c r="G55" s="788"/>
      <c r="H55" s="337">
        <f>'H(R+S+L)'!J55*1-Moore!H55</f>
        <v>-0.0005289572145557031</v>
      </c>
      <c r="I55" s="297">
        <v>7</v>
      </c>
      <c r="J55" s="298">
        <v>2.5</v>
      </c>
      <c r="K55" s="296" t="s">
        <v>11</v>
      </c>
      <c r="L55" s="695">
        <f>IF(OR('H(R+S+L)'!N55="N.P.",'H(R+S+L)'!N55="",Moore!L55=""),"",'H(R+S+L)'!N55-Moore!L55)</f>
      </c>
      <c r="M55" s="347">
        <f>IF(OR('H(R+S+L)'!O55="N.P.",'H(R+S+L)'!O55="",Moore!M55=""),"",'H(R+S+L)'!O55-Moore!M55)</f>
      </c>
      <c r="N55" s="341">
        <f>IF(OR('H(R+S+L)'!P55="N.P.",'H(R+S+L)'!P55="",Moore!N55=""),"",'H(R+S+L)'!P55-Moore!N55)</f>
      </c>
      <c r="O55" s="342">
        <f>IF(OR('H(R+S+L)'!Q55="N.P.",'H(R+S+L)'!Q55="",Moore!O55=""),"",'H(R+S+L)'!Q55-Moore!O55)</f>
      </c>
      <c r="P55" s="347">
        <f>IF(OR('H(R+S+L)'!R55="N.P.",'H(R+S+L)'!R55="",Moore!P55=""),"",'H(R+S+L)'!R55-Moore!P55)</f>
      </c>
      <c r="Q55" s="341">
        <f>IF(OR('H(R+S+L)'!S55="N.P.",'H(R+S+L)'!S55="",Moore!Q55=""),"",'H(R+S+L)'!S55-Moore!Q55)</f>
      </c>
      <c r="R55" s="341">
        <f>IF(OR('H(R+S+L)'!T55="N.P.",'H(R+S+L)'!T55="",Moore!R55=""),"",'H(R+S+L)'!T55-Moore!R55)</f>
      </c>
      <c r="S55" s="341">
        <f>IF(OR('H(R+S+L)'!U55="N.P.",'H(R+S+L)'!U55="",Moore!S55=""),"",'H(R+S+L)'!U55-Moore!S55)</f>
      </c>
      <c r="T55" s="342">
        <f>IF(OR('H(R+S+L)'!V55="N.P.",'H(R+S+L)'!V55="",Moore!T55=""),"",'H(R+S+L)'!V55-Moore!T55)</f>
      </c>
      <c r="U55" s="347">
        <f>IF(OR('H(R+S+L)'!W55="N.P.",'H(R+S+L)'!W55="",Moore!U55=""),"",'H(R+S+L)'!W55-Moore!U55)</f>
      </c>
      <c r="V55" s="341">
        <f>IF(OR('H(R+S+L)'!X55="N.P.",'H(R+S+L)'!X55="",Moore!V55=""),"",'H(R+S+L)'!X55-Moore!V55)</f>
      </c>
      <c r="W55" s="341">
        <f>IF(OR('H(R+S+L)'!Y55="N.P.",'H(R+S+L)'!Y55="",Moore!W55=""),"",'H(R+S+L)'!Y55-Moore!W55)</f>
      </c>
      <c r="X55" s="341">
        <f>IF(OR('H(R+S+L)'!Z55="N.P.",'H(R+S+L)'!Z55="",Moore!X55=""),"",'H(R+S+L)'!Z55-Moore!X55)</f>
      </c>
      <c r="Y55" s="341">
        <f>IF(OR('H(R+S+L)'!AA55="N.P.",'H(R+S+L)'!AA55="",Moore!Y55=""),"",'H(R+S+L)'!AA55-Moore!Y55)</f>
      </c>
      <c r="Z55" s="341">
        <f>IF(OR('H(R+S+L)'!AB55="N.P.",'H(R+S+L)'!AB55="",Moore!Z55=""),"",'H(R+S+L)'!AB55-Moore!Z55)</f>
      </c>
      <c r="AA55" s="342">
        <f>IF(OR('H(R+S+L)'!AC55="N.P.",'H(R+S+L)'!AC55="",Moore!AA55=""),"",'H(R+S+L)'!AC55-Moore!AA55)</f>
      </c>
      <c r="AB55" s="347">
        <f>IF(OR('H(R+S+L)'!AD55="N.P.",'H(R+S+L)'!AD55="",Moore!AB55=""),"",'H(R+S+L)'!AD55-Moore!AB55)</f>
      </c>
      <c r="AC55" s="341">
        <f>IF(OR('H(R+S+L)'!AE55="N.P.",'H(R+S+L)'!AE55="",Moore!AC55=""),"",'H(R+S+L)'!AE55-Moore!AC55)</f>
      </c>
      <c r="AD55" s="341">
        <f>IF(OR('H(R+S+L)'!AF55="N.P.",'H(R+S+L)'!AF55="",Moore!AD55=""),"",'H(R+S+L)'!AF55-Moore!AD55)</f>
      </c>
      <c r="AE55" s="341">
        <f>IF(OR('H(R+S+L)'!AG55="N.P.",'H(R+S+L)'!AG55="",Moore!AE55=""),"",'H(R+S+L)'!AG55-Moore!AE55)</f>
      </c>
      <c r="AF55" s="341">
        <f>IF(OR('H(R+S+L)'!AH55="N.P.",'H(R+S+L)'!AH55="",Moore!AF55=""),"",'H(R+S+L)'!AH55-Moore!AF55)</f>
      </c>
      <c r="AG55" s="341">
        <f>IF(OR('H(R+S+L)'!AI55="N.P.",'H(R+S+L)'!AI55="",Moore!AG55=""),"",'H(R+S+L)'!AI55-Moore!AG55)</f>
      </c>
      <c r="AH55" s="341">
        <f>IF(OR('H(R+S+L)'!AJ55="N.P.",'H(R+S+L)'!AJ55="",Moore!AH55=""),"",'H(R+S+L)'!AJ55-Moore!AH55)</f>
      </c>
      <c r="AI55" s="341">
        <f>IF(OR('H(R+S+L)'!AK55="N.P.",'H(R+S+L)'!AK55="",Moore!AI55=""),"",'H(R+S+L)'!AK55-Moore!AI55)</f>
      </c>
      <c r="AJ55" s="342">
        <f>IF(OR('H(R+S+L)'!AL55="N.P.",'H(R+S+L)'!AL55="",Moore!AJ55=""),"",'H(R+S+L)'!AL55-Moore!AJ55)</f>
      </c>
      <c r="AK55" s="347">
        <f>IF(OR('H(R+S+L)'!AM55="N.P.",'H(R+S+L)'!AM55="",Moore!AK55=""),"",'H(R+S+L)'!AM55-Moore!AK55)</f>
      </c>
      <c r="AL55" s="341">
        <f>IF(OR('H(R+S+L)'!AN55="N.P.",'H(R+S+L)'!AN55="",Moore!AL55=""),"",'H(R+S+L)'!AN55-Moore!AL55)</f>
      </c>
      <c r="AM55" s="341">
        <f>IF(OR('H(R+S+L)'!AO55="N.P.",'H(R+S+L)'!AO55="",Moore!AM55=""),"",'H(R+S+L)'!AO55-Moore!AM55)</f>
      </c>
      <c r="AN55" s="341">
        <f>IF(OR('H(R+S+L)'!AP55="N.P.",'H(R+S+L)'!AP55="",Moore!AN55=""),"",'H(R+S+L)'!AP55-Moore!AN55)</f>
      </c>
      <c r="AO55" s="341">
        <f>IF(OR('H(R+S+L)'!AQ55="N.P.",'H(R+S+L)'!AQ55="",Moore!AO55=""),"",'H(R+S+L)'!AQ55-Moore!AO55)</f>
      </c>
      <c r="AP55" s="341">
        <f>IF(OR('H(R+S+L)'!AR55="N.P.",'H(R+S+L)'!AR55="",Moore!AP55=""),"",'H(R+S+L)'!AR55-Moore!AP55)</f>
      </c>
      <c r="AQ55" s="341">
        <f>IF(OR('H(R+S+L)'!AS55="N.P.",'H(R+S+L)'!AS55="",Moore!AQ55=""),"",'H(R+S+L)'!AS55-Moore!AQ55)</f>
      </c>
      <c r="AR55" s="341">
        <f>IF(OR('H(R+S+L)'!AT55="N.P.",'H(R+S+L)'!AT55="",Moore!AR55=""),"",'H(R+S+L)'!AT55-Moore!AR55)</f>
      </c>
      <c r="AS55" s="341">
        <f>IF(OR('H(R+S+L)'!AU55="N.P.",'H(R+S+L)'!AU55="",Moore!AS55=""),"",'H(R+S+L)'!AU55-Moore!AS55)</f>
      </c>
      <c r="AT55" s="341">
        <f>IF(OR('H(R+S+L)'!AV55="N.P.",'H(R+S+L)'!AV55="",Moore!AT55=""),"",'H(R+S+L)'!AV55-Moore!AT55)</f>
      </c>
      <c r="AU55" s="342">
        <f>IF(OR('H(R+S+L)'!AW55="N.P.",'H(R+S+L)'!AW55="",Moore!AU55=""),"",'H(R+S+L)'!AW55-Moore!AU55)</f>
      </c>
      <c r="AV55" s="347">
        <f>IF(OR('H(R+S+L)'!AX55="N.P.",'H(R+S+L)'!AX55="",Moore!AV55=""),"",'H(R+S+L)'!AX55-Moore!AV55)</f>
      </c>
      <c r="AW55" s="341">
        <f>IF(OR('H(R+S+L)'!AY55="N.P.",'H(R+S+L)'!AY55="",Moore!AW55=""),"",'H(R+S+L)'!AY55-Moore!AW55)</f>
      </c>
      <c r="AX55" s="341">
        <f>IF(OR('H(R+S+L)'!AZ55="N.P.",'H(R+S+L)'!AZ55="",Moore!AX55=""),"",'H(R+S+L)'!AZ55-Moore!AX55)</f>
      </c>
      <c r="AY55" s="341">
        <f>IF(OR('H(R+S+L)'!BA55="N.P.",'H(R+S+L)'!BA55="",Moore!AY55=""),"",'H(R+S+L)'!BA55-Moore!AY55)</f>
      </c>
      <c r="AZ55" s="341">
        <f>IF(OR('H(R+S+L)'!BB55="N.P.",'H(R+S+L)'!BB55="",Moore!AZ55=""),"",'H(R+S+L)'!BB55-Moore!AZ55)</f>
      </c>
      <c r="BA55" s="341">
        <f>IF(OR('H(R+S+L)'!BC55="N.P.",'H(R+S+L)'!BC55="",Moore!BA55=""),"",'H(R+S+L)'!BC55-Moore!BA55)</f>
      </c>
      <c r="BB55" s="341">
        <f>IF(OR('H(R+S+L)'!BD55="N.P.",'H(R+S+L)'!BD55="",Moore!BB55=""),"",'H(R+S+L)'!BD55-Moore!BB55)</f>
      </c>
      <c r="BC55" s="341">
        <f>IF(OR('H(R+S+L)'!BE55="N.P.",'H(R+S+L)'!BE55="",Moore!BC55=""),"",'H(R+S+L)'!BE55-Moore!BC55)</f>
      </c>
      <c r="BD55" s="341">
        <f>IF(OR('H(R+S+L)'!BF55="N.P.",'H(R+S+L)'!BF55="",Moore!BD55=""),"",'H(R+S+L)'!BF55-Moore!BD55)</f>
      </c>
      <c r="BE55" s="341">
        <f>IF(OR('H(R+S+L)'!BG55="N.P.",'H(R+S+L)'!BG55="",Moore!BE55=""),"",'H(R+S+L)'!BG55-Moore!BE55)</f>
      </c>
      <c r="BF55" s="341">
        <f>IF(OR('H(R+S+L)'!BH55="N.P.",'H(R+S+L)'!BH55="",Moore!BF55=""),"",'H(R+S+L)'!BH55-Moore!BF55)</f>
      </c>
      <c r="BG55" s="341">
        <f>IF(OR('H(R+S+L)'!BI55="N.P.",'H(R+S+L)'!BI55="",Moore!BG55=""),"",'H(R+S+L)'!BI55-Moore!BG55)</f>
      </c>
      <c r="BH55" s="342">
        <f>IF(OR('H(R+S+L)'!BJ55="N.P.",'H(R+S+L)'!BJ55="",Moore!BH55=""),"",'H(R+S+L)'!BJ55-Moore!BH55)</f>
      </c>
    </row>
    <row r="56" spans="7:60" ht="12.75">
      <c r="G56" s="788"/>
      <c r="H56" s="337">
        <f>'H(R+S+L)'!J56*1-Moore!H56</f>
        <v>-0.0007183647830970585</v>
      </c>
      <c r="I56" s="297">
        <v>7</v>
      </c>
      <c r="J56" s="298">
        <v>3.5</v>
      </c>
      <c r="K56" s="296" t="s">
        <v>12</v>
      </c>
      <c r="L56" s="695">
        <f>IF(OR('H(R+S+L)'!N56="N.P.",'H(R+S+L)'!N56="",Moore!L56=""),"",'H(R+S+L)'!N56-Moore!L56)</f>
      </c>
      <c r="M56" s="347">
        <f>IF(OR('H(R+S+L)'!O56="N.P.",'H(R+S+L)'!O56="",Moore!M56=""),"",'H(R+S+L)'!O56-Moore!M56)</f>
      </c>
      <c r="N56" s="341">
        <f>IF(OR('H(R+S+L)'!P56="N.P.",'H(R+S+L)'!P56="",Moore!N56=""),"",'H(R+S+L)'!P56-Moore!N56)</f>
      </c>
      <c r="O56" s="342">
        <f>IF(OR('H(R+S+L)'!Q56="N.P.",'H(R+S+L)'!Q56="",Moore!O56=""),"",'H(R+S+L)'!Q56-Moore!O56)</f>
      </c>
      <c r="P56" s="347">
        <f>IF(OR('H(R+S+L)'!R56="N.P.",'H(R+S+L)'!R56="",Moore!P56=""),"",'H(R+S+L)'!R56-Moore!P56)</f>
      </c>
      <c r="Q56" s="341">
        <f>IF(OR('H(R+S+L)'!S56="N.P.",'H(R+S+L)'!S56="",Moore!Q56=""),"",'H(R+S+L)'!S56-Moore!Q56)</f>
      </c>
      <c r="R56" s="341">
        <f>IF(OR('H(R+S+L)'!T56="N.P.",'H(R+S+L)'!T56="",Moore!R56=""),"",'H(R+S+L)'!T56-Moore!R56)</f>
      </c>
      <c r="S56" s="341">
        <f>IF(OR('H(R+S+L)'!U56="N.P.",'H(R+S+L)'!U56="",Moore!S56=""),"",'H(R+S+L)'!U56-Moore!S56)</f>
        <v>0.053531542642303975</v>
      </c>
      <c r="T56" s="342">
        <f>IF(OR('H(R+S+L)'!V56="N.P.",'H(R+S+L)'!V56="",Moore!T56=""),"",'H(R+S+L)'!V56-Moore!T56)</f>
      </c>
      <c r="U56" s="347">
        <f>IF(OR('H(R+S+L)'!W56="N.P.",'H(R+S+L)'!W56="",Moore!U56=""),"",'H(R+S+L)'!W56-Moore!U56)</f>
      </c>
      <c r="V56" s="341">
        <f>IF(OR('H(R+S+L)'!X56="N.P.",'H(R+S+L)'!X56="",Moore!V56=""),"",'H(R+S+L)'!X56-Moore!V56)</f>
      </c>
      <c r="W56" s="341">
        <f>IF(OR('H(R+S+L)'!Y56="N.P.",'H(R+S+L)'!Y56="",Moore!W56=""),"",'H(R+S+L)'!Y56-Moore!W56)</f>
      </c>
      <c r="X56" s="341">
        <f>IF(OR('H(R+S+L)'!Z56="N.P.",'H(R+S+L)'!Z56="",Moore!X56=""),"",'H(R+S+L)'!Z56-Moore!X56)</f>
      </c>
      <c r="Y56" s="341">
        <f>IF(OR('H(R+S+L)'!AA56="N.P.",'H(R+S+L)'!AA56="",Moore!Y56=""),"",'H(R+S+L)'!AA56-Moore!Y56)</f>
      </c>
      <c r="Z56" s="341">
        <f>IF(OR('H(R+S+L)'!AB56="N.P.",'H(R+S+L)'!AB56="",Moore!Z56=""),"",'H(R+S+L)'!AB56-Moore!Z56)</f>
      </c>
      <c r="AA56" s="342">
        <f>IF(OR('H(R+S+L)'!AC56="N.P.",'H(R+S+L)'!AC56="",Moore!AA56=""),"",'H(R+S+L)'!AC56-Moore!AA56)</f>
      </c>
      <c r="AB56" s="347">
        <f>IF(OR('H(R+S+L)'!AD56="N.P.",'H(R+S+L)'!AD56="",Moore!AB56=""),"",'H(R+S+L)'!AD56-Moore!AB56)</f>
      </c>
      <c r="AC56" s="341">
        <f>IF(OR('H(R+S+L)'!AE56="N.P.",'H(R+S+L)'!AE56="",Moore!AC56=""),"",'H(R+S+L)'!AE56-Moore!AC56)</f>
      </c>
      <c r="AD56" s="341">
        <f>IF(OR('H(R+S+L)'!AF56="N.P.",'H(R+S+L)'!AF56="",Moore!AD56=""),"",'H(R+S+L)'!AF56-Moore!AD56)</f>
      </c>
      <c r="AE56" s="341">
        <f>IF(OR('H(R+S+L)'!AG56="N.P.",'H(R+S+L)'!AG56="",Moore!AE56=""),"",'H(R+S+L)'!AG56-Moore!AE56)</f>
      </c>
      <c r="AF56" s="341">
        <f>IF(OR('H(R+S+L)'!AH56="N.P.",'H(R+S+L)'!AH56="",Moore!AF56=""),"",'H(R+S+L)'!AH56-Moore!AF56)</f>
      </c>
      <c r="AG56" s="341">
        <f>IF(OR('H(R+S+L)'!AI56="N.P.",'H(R+S+L)'!AI56="",Moore!AG56=""),"",'H(R+S+L)'!AI56-Moore!AG56)</f>
      </c>
      <c r="AH56" s="341">
        <f>IF(OR('H(R+S+L)'!AJ56="N.P.",'H(R+S+L)'!AJ56="",Moore!AH56=""),"",'H(R+S+L)'!AJ56-Moore!AH56)</f>
      </c>
      <c r="AI56" s="341">
        <f>IF(OR('H(R+S+L)'!AK56="N.P.",'H(R+S+L)'!AK56="",Moore!AI56=""),"",'H(R+S+L)'!AK56-Moore!AI56)</f>
      </c>
      <c r="AJ56" s="342">
        <f>IF(OR('H(R+S+L)'!AL56="N.P.",'H(R+S+L)'!AL56="",Moore!AJ56=""),"",'H(R+S+L)'!AL56-Moore!AJ56)</f>
      </c>
      <c r="AK56" s="347">
        <f>IF(OR('H(R+S+L)'!AM56="N.P.",'H(R+S+L)'!AM56="",Moore!AK56=""),"",'H(R+S+L)'!AM56-Moore!AK56)</f>
      </c>
      <c r="AL56" s="341">
        <f>IF(OR('H(R+S+L)'!AN56="N.P.",'H(R+S+L)'!AN56="",Moore!AL56=""),"",'H(R+S+L)'!AN56-Moore!AL56)</f>
      </c>
      <c r="AM56" s="341">
        <f>IF(OR('H(R+S+L)'!AO56="N.P.",'H(R+S+L)'!AO56="",Moore!AM56=""),"",'H(R+S+L)'!AO56-Moore!AM56)</f>
      </c>
      <c r="AN56" s="341">
        <f>IF(OR('H(R+S+L)'!AP56="N.P.",'H(R+S+L)'!AP56="",Moore!AN56=""),"",'H(R+S+L)'!AP56-Moore!AN56)</f>
      </c>
      <c r="AO56" s="341">
        <f>IF(OR('H(R+S+L)'!AQ56="N.P.",'H(R+S+L)'!AQ56="",Moore!AO56=""),"",'H(R+S+L)'!AQ56-Moore!AO56)</f>
      </c>
      <c r="AP56" s="341">
        <f>IF(OR('H(R+S+L)'!AR56="N.P.",'H(R+S+L)'!AR56="",Moore!AP56=""),"",'H(R+S+L)'!AR56-Moore!AP56)</f>
      </c>
      <c r="AQ56" s="341">
        <f>IF(OR('H(R+S+L)'!AS56="N.P.",'H(R+S+L)'!AS56="",Moore!AQ56=""),"",'H(R+S+L)'!AS56-Moore!AQ56)</f>
      </c>
      <c r="AR56" s="341">
        <f>IF(OR('H(R+S+L)'!AT56="N.P.",'H(R+S+L)'!AT56="",Moore!AR56=""),"",'H(R+S+L)'!AT56-Moore!AR56)</f>
      </c>
      <c r="AS56" s="341">
        <f>IF(OR('H(R+S+L)'!AU56="N.P.",'H(R+S+L)'!AU56="",Moore!AS56=""),"",'H(R+S+L)'!AU56-Moore!AS56)</f>
      </c>
      <c r="AT56" s="341">
        <f>IF(OR('H(R+S+L)'!AV56="N.P.",'H(R+S+L)'!AV56="",Moore!AT56=""),"",'H(R+S+L)'!AV56-Moore!AT56)</f>
      </c>
      <c r="AU56" s="342">
        <f>IF(OR('H(R+S+L)'!AW56="N.P.",'H(R+S+L)'!AW56="",Moore!AU56=""),"",'H(R+S+L)'!AW56-Moore!AU56)</f>
      </c>
      <c r="AV56" s="347">
        <f>IF(OR('H(R+S+L)'!AX56="N.P.",'H(R+S+L)'!AX56="",Moore!AV56=""),"",'H(R+S+L)'!AX56-Moore!AV56)</f>
      </c>
      <c r="AW56" s="341">
        <f>IF(OR('H(R+S+L)'!AY56="N.P.",'H(R+S+L)'!AY56="",Moore!AW56=""),"",'H(R+S+L)'!AY56-Moore!AW56)</f>
      </c>
      <c r="AX56" s="341">
        <f>IF(OR('H(R+S+L)'!AZ56="N.P.",'H(R+S+L)'!AZ56="",Moore!AX56=""),"",'H(R+S+L)'!AZ56-Moore!AX56)</f>
      </c>
      <c r="AY56" s="341">
        <f>IF(OR('H(R+S+L)'!BA56="N.P.",'H(R+S+L)'!BA56="",Moore!AY56=""),"",'H(R+S+L)'!BA56-Moore!AY56)</f>
      </c>
      <c r="AZ56" s="341">
        <f>IF(OR('H(R+S+L)'!BB56="N.P.",'H(R+S+L)'!BB56="",Moore!AZ56=""),"",'H(R+S+L)'!BB56-Moore!AZ56)</f>
      </c>
      <c r="BA56" s="341">
        <f>IF(OR('H(R+S+L)'!BC56="N.P.",'H(R+S+L)'!BC56="",Moore!BA56=""),"",'H(R+S+L)'!BC56-Moore!BA56)</f>
      </c>
      <c r="BB56" s="341">
        <f>IF(OR('H(R+S+L)'!BD56="N.P.",'H(R+S+L)'!BD56="",Moore!BB56=""),"",'H(R+S+L)'!BD56-Moore!BB56)</f>
      </c>
      <c r="BC56" s="341">
        <f>IF(OR('H(R+S+L)'!BE56="N.P.",'H(R+S+L)'!BE56="",Moore!BC56=""),"",'H(R+S+L)'!BE56-Moore!BC56)</f>
      </c>
      <c r="BD56" s="341">
        <f>IF(OR('H(R+S+L)'!BF56="N.P.",'H(R+S+L)'!BF56="",Moore!BD56=""),"",'H(R+S+L)'!BF56-Moore!BD56)</f>
      </c>
      <c r="BE56" s="341">
        <f>IF(OR('H(R+S+L)'!BG56="N.P.",'H(R+S+L)'!BG56="",Moore!BE56=""),"",'H(R+S+L)'!BG56-Moore!BE56)</f>
      </c>
      <c r="BF56" s="341">
        <f>IF(OR('H(R+S+L)'!BH56="N.P.",'H(R+S+L)'!BH56="",Moore!BF56=""),"",'H(R+S+L)'!BH56-Moore!BF56)</f>
      </c>
      <c r="BG56" s="341">
        <f>IF(OR('H(R+S+L)'!BI56="N.P.",'H(R+S+L)'!BI56="",Moore!BG56=""),"",'H(R+S+L)'!BI56-Moore!BG56)</f>
      </c>
      <c r="BH56" s="342">
        <f>IF(OR('H(R+S+L)'!BJ56="N.P.",'H(R+S+L)'!BJ56="",Moore!BH56=""),"",'H(R+S+L)'!BJ56-Moore!BH56)</f>
      </c>
    </row>
    <row r="57" spans="7:60" ht="12.75">
      <c r="G57" s="788"/>
      <c r="H57" s="337">
        <f>'H(R+S+L)'!J57*1-Moore!H57</f>
        <v>-0.0006306655559455976</v>
      </c>
      <c r="I57" s="297">
        <v>7</v>
      </c>
      <c r="J57" s="298">
        <v>3.5</v>
      </c>
      <c r="K57" s="296" t="s">
        <v>13</v>
      </c>
      <c r="L57" s="695">
        <f>IF(OR('H(R+S+L)'!N57="N.P.",'H(R+S+L)'!N57="",Moore!L57=""),"",'H(R+S+L)'!N57-Moore!L57)</f>
      </c>
      <c r="M57" s="347">
        <f>IF(OR('H(R+S+L)'!O57="N.P.",'H(R+S+L)'!O57="",Moore!M57=""),"",'H(R+S+L)'!O57-Moore!M57)</f>
      </c>
      <c r="N57" s="341">
        <f>IF(OR('H(R+S+L)'!P57="N.P.",'H(R+S+L)'!P57="",Moore!N57=""),"",'H(R+S+L)'!P57-Moore!N57)</f>
      </c>
      <c r="O57" s="342">
        <f>IF(OR('H(R+S+L)'!Q57="N.P.",'H(R+S+L)'!Q57="",Moore!O57=""),"",'H(R+S+L)'!Q57-Moore!O57)</f>
      </c>
      <c r="P57" s="347">
        <f>IF(OR('H(R+S+L)'!R57="N.P.",'H(R+S+L)'!R57="",Moore!P57=""),"",'H(R+S+L)'!R57-Moore!P57)</f>
      </c>
      <c r="Q57" s="341">
        <f>IF(OR('H(R+S+L)'!S57="N.P.",'H(R+S+L)'!S57="",Moore!Q57=""),"",'H(R+S+L)'!S57-Moore!Q57)</f>
      </c>
      <c r="R57" s="341">
        <f>IF(OR('H(R+S+L)'!T57="N.P.",'H(R+S+L)'!T57="",Moore!R57=""),"",'H(R+S+L)'!T57-Moore!R57)</f>
      </c>
      <c r="S57" s="341">
        <f>IF(OR('H(R+S+L)'!U57="N.P.",'H(R+S+L)'!U57="",Moore!S57=""),"",'H(R+S+L)'!U57-Moore!S57)</f>
      </c>
      <c r="T57" s="342">
        <f>IF(OR('H(R+S+L)'!V57="N.P.",'H(R+S+L)'!V57="",Moore!T57=""),"",'H(R+S+L)'!V57-Moore!T57)</f>
      </c>
      <c r="U57" s="347">
        <f>IF(OR('H(R+S+L)'!W57="N.P.",'H(R+S+L)'!W57="",Moore!U57=""),"",'H(R+S+L)'!W57-Moore!U57)</f>
      </c>
      <c r="V57" s="341">
        <f>IF(OR('H(R+S+L)'!X57="N.P.",'H(R+S+L)'!X57="",Moore!V57=""),"",'H(R+S+L)'!X57-Moore!V57)</f>
      </c>
      <c r="W57" s="341">
        <f>IF(OR('H(R+S+L)'!Y57="N.P.",'H(R+S+L)'!Y57="",Moore!W57=""),"",'H(R+S+L)'!Y57-Moore!W57)</f>
      </c>
      <c r="X57" s="341">
        <f>IF(OR('H(R+S+L)'!Z57="N.P.",'H(R+S+L)'!Z57="",Moore!X57=""),"",'H(R+S+L)'!Z57-Moore!X57)</f>
      </c>
      <c r="Y57" s="341">
        <f>IF(OR('H(R+S+L)'!AA57="N.P.",'H(R+S+L)'!AA57="",Moore!Y57=""),"",'H(R+S+L)'!AA57-Moore!Y57)</f>
      </c>
      <c r="Z57" s="341">
        <f>IF(OR('H(R+S+L)'!AB57="N.P.",'H(R+S+L)'!AB57="",Moore!Z57=""),"",'H(R+S+L)'!AB57-Moore!Z57)</f>
      </c>
      <c r="AA57" s="342">
        <f>IF(OR('H(R+S+L)'!AC57="N.P.",'H(R+S+L)'!AC57="",Moore!AA57=""),"",'H(R+S+L)'!AC57-Moore!AA57)</f>
      </c>
      <c r="AB57" s="347">
        <f>IF(OR('H(R+S+L)'!AD57="N.P.",'H(R+S+L)'!AD57="",Moore!AB57=""),"",'H(R+S+L)'!AD57-Moore!AB57)</f>
      </c>
      <c r="AC57" s="341">
        <f>IF(OR('H(R+S+L)'!AE57="N.P.",'H(R+S+L)'!AE57="",Moore!AC57=""),"",'H(R+S+L)'!AE57-Moore!AC57)</f>
      </c>
      <c r="AD57" s="341">
        <f>IF(OR('H(R+S+L)'!AF57="N.P.",'H(R+S+L)'!AF57="",Moore!AD57=""),"",'H(R+S+L)'!AF57-Moore!AD57)</f>
      </c>
      <c r="AE57" s="341">
        <f>IF(OR('H(R+S+L)'!AG57="N.P.",'H(R+S+L)'!AG57="",Moore!AE57=""),"",'H(R+S+L)'!AG57-Moore!AE57)</f>
      </c>
      <c r="AF57" s="341">
        <f>IF(OR('H(R+S+L)'!AH57="N.P.",'H(R+S+L)'!AH57="",Moore!AF57=""),"",'H(R+S+L)'!AH57-Moore!AF57)</f>
      </c>
      <c r="AG57" s="341">
        <f>IF(OR('H(R+S+L)'!AI57="N.P.",'H(R+S+L)'!AI57="",Moore!AG57=""),"",'H(R+S+L)'!AI57-Moore!AG57)</f>
      </c>
      <c r="AH57" s="341">
        <f>IF(OR('H(R+S+L)'!AJ57="N.P.",'H(R+S+L)'!AJ57="",Moore!AH57=""),"",'H(R+S+L)'!AJ57-Moore!AH57)</f>
      </c>
      <c r="AI57" s="341">
        <f>IF(OR('H(R+S+L)'!AK57="N.P.",'H(R+S+L)'!AK57="",Moore!AI57=""),"",'H(R+S+L)'!AK57-Moore!AI57)</f>
      </c>
      <c r="AJ57" s="342">
        <f>IF(OR('H(R+S+L)'!AL57="N.P.",'H(R+S+L)'!AL57="",Moore!AJ57=""),"",'H(R+S+L)'!AL57-Moore!AJ57)</f>
      </c>
      <c r="AK57" s="347">
        <f>IF(OR('H(R+S+L)'!AM57="N.P.",'H(R+S+L)'!AM57="",Moore!AK57=""),"",'H(R+S+L)'!AM57-Moore!AK57)</f>
      </c>
      <c r="AL57" s="341">
        <f>IF(OR('H(R+S+L)'!AN57="N.P.",'H(R+S+L)'!AN57="",Moore!AL57=""),"",'H(R+S+L)'!AN57-Moore!AL57)</f>
      </c>
      <c r="AM57" s="341">
        <f>IF(OR('H(R+S+L)'!AO57="N.P.",'H(R+S+L)'!AO57="",Moore!AM57=""),"",'H(R+S+L)'!AO57-Moore!AM57)</f>
      </c>
      <c r="AN57" s="341">
        <f>IF(OR('H(R+S+L)'!AP57="N.P.",'H(R+S+L)'!AP57="",Moore!AN57=""),"",'H(R+S+L)'!AP57-Moore!AN57)</f>
      </c>
      <c r="AO57" s="341">
        <f>IF(OR('H(R+S+L)'!AQ57="N.P.",'H(R+S+L)'!AQ57="",Moore!AO57=""),"",'H(R+S+L)'!AQ57-Moore!AO57)</f>
      </c>
      <c r="AP57" s="341">
        <f>IF(OR('H(R+S+L)'!AR57="N.P.",'H(R+S+L)'!AR57="",Moore!AP57=""),"",'H(R+S+L)'!AR57-Moore!AP57)</f>
      </c>
      <c r="AQ57" s="341">
        <f>IF(OR('H(R+S+L)'!AS57="N.P.",'H(R+S+L)'!AS57="",Moore!AQ57=""),"",'H(R+S+L)'!AS57-Moore!AQ57)</f>
      </c>
      <c r="AR57" s="341">
        <f>IF(OR('H(R+S+L)'!AT57="N.P.",'H(R+S+L)'!AT57="",Moore!AR57=""),"",'H(R+S+L)'!AT57-Moore!AR57)</f>
      </c>
      <c r="AS57" s="341">
        <f>IF(OR('H(R+S+L)'!AU57="N.P.",'H(R+S+L)'!AU57="",Moore!AS57=""),"",'H(R+S+L)'!AU57-Moore!AS57)</f>
      </c>
      <c r="AT57" s="341">
        <f>IF(OR('H(R+S+L)'!AV57="N.P.",'H(R+S+L)'!AV57="",Moore!AT57=""),"",'H(R+S+L)'!AV57-Moore!AT57)</f>
      </c>
      <c r="AU57" s="342">
        <f>IF(OR('H(R+S+L)'!AW57="N.P.",'H(R+S+L)'!AW57="",Moore!AU57=""),"",'H(R+S+L)'!AW57-Moore!AU57)</f>
      </c>
      <c r="AV57" s="347">
        <f>IF(OR('H(R+S+L)'!AX57="N.P.",'H(R+S+L)'!AX57="",Moore!AV57=""),"",'H(R+S+L)'!AX57-Moore!AV57)</f>
      </c>
      <c r="AW57" s="341">
        <f>IF(OR('H(R+S+L)'!AY57="N.P.",'H(R+S+L)'!AY57="",Moore!AW57=""),"",'H(R+S+L)'!AY57-Moore!AW57)</f>
      </c>
      <c r="AX57" s="341">
        <f>IF(OR('H(R+S+L)'!AZ57="N.P.",'H(R+S+L)'!AZ57="",Moore!AX57=""),"",'H(R+S+L)'!AZ57-Moore!AX57)</f>
      </c>
      <c r="AY57" s="341">
        <f>IF(OR('H(R+S+L)'!BA57="N.P.",'H(R+S+L)'!BA57="",Moore!AY57=""),"",'H(R+S+L)'!BA57-Moore!AY57)</f>
      </c>
      <c r="AZ57" s="341">
        <f>IF(OR('H(R+S+L)'!BB57="N.P.",'H(R+S+L)'!BB57="",Moore!AZ57=""),"",'H(R+S+L)'!BB57-Moore!AZ57)</f>
      </c>
      <c r="BA57" s="341">
        <f>IF(OR('H(R+S+L)'!BC57="N.P.",'H(R+S+L)'!BC57="",Moore!BA57=""),"",'H(R+S+L)'!BC57-Moore!BA57)</f>
      </c>
      <c r="BB57" s="341">
        <f>IF(OR('H(R+S+L)'!BD57="N.P.",'H(R+S+L)'!BD57="",Moore!BB57=""),"",'H(R+S+L)'!BD57-Moore!BB57)</f>
      </c>
      <c r="BC57" s="341">
        <f>IF(OR('H(R+S+L)'!BE57="N.P.",'H(R+S+L)'!BE57="",Moore!BC57=""),"",'H(R+S+L)'!BE57-Moore!BC57)</f>
      </c>
      <c r="BD57" s="341">
        <f>IF(OR('H(R+S+L)'!BF57="N.P.",'H(R+S+L)'!BF57="",Moore!BD57=""),"",'H(R+S+L)'!BF57-Moore!BD57)</f>
      </c>
      <c r="BE57" s="341">
        <f>IF(OR('H(R+S+L)'!BG57="N.P.",'H(R+S+L)'!BG57="",Moore!BE57=""),"",'H(R+S+L)'!BG57-Moore!BE57)</f>
      </c>
      <c r="BF57" s="341">
        <f>IF(OR('H(R+S+L)'!BH57="N.P.",'H(R+S+L)'!BH57="",Moore!BF57=""),"",'H(R+S+L)'!BH57-Moore!BF57)</f>
      </c>
      <c r="BG57" s="341">
        <f>IF(OR('H(R+S+L)'!BI57="N.P.",'H(R+S+L)'!BI57="",Moore!BG57=""),"",'H(R+S+L)'!BI57-Moore!BG57)</f>
      </c>
      <c r="BH57" s="342">
        <f>IF(OR('H(R+S+L)'!BJ57="N.P.",'H(R+S+L)'!BJ57="",Moore!BH57=""),"",'H(R+S+L)'!BJ57-Moore!BH57)</f>
      </c>
    </row>
    <row r="58" spans="7:60" ht="12.75">
      <c r="G58" s="788"/>
      <c r="H58" s="337">
        <f>'H(R+S+L)'!J58*1-Moore!H58</f>
        <v>-0.0007137701031751931</v>
      </c>
      <c r="I58" s="297">
        <v>7</v>
      </c>
      <c r="J58" s="298">
        <v>4.5</v>
      </c>
      <c r="K58" s="296" t="s">
        <v>14</v>
      </c>
      <c r="L58" s="695">
        <f>IF(OR('H(R+S+L)'!N58="N.P.",'H(R+S+L)'!N58="",Moore!L58=""),"",'H(R+S+L)'!N58-Moore!L58)</f>
      </c>
      <c r="M58" s="347">
        <f>IF(OR('H(R+S+L)'!O58="N.P.",'H(R+S+L)'!O58="",Moore!M58=""),"",'H(R+S+L)'!O58-Moore!M58)</f>
      </c>
      <c r="N58" s="341">
        <f>IF(OR('H(R+S+L)'!P58="N.P.",'H(R+S+L)'!P58="",Moore!N58=""),"",'H(R+S+L)'!P58-Moore!N58)</f>
      </c>
      <c r="O58" s="342">
        <f>IF(OR('H(R+S+L)'!Q58="N.P.",'H(R+S+L)'!Q58="",Moore!O58=""),"",'H(R+S+L)'!Q58-Moore!O58)</f>
      </c>
      <c r="P58" s="347">
        <f>IF(OR('H(R+S+L)'!R58="N.P.",'H(R+S+L)'!R58="",Moore!P58=""),"",'H(R+S+L)'!R58-Moore!P58)</f>
      </c>
      <c r="Q58" s="341">
        <f>IF(OR('H(R+S+L)'!S58="N.P.",'H(R+S+L)'!S58="",Moore!Q58=""),"",'H(R+S+L)'!S58-Moore!Q58)</f>
      </c>
      <c r="R58" s="341">
        <f>IF(OR('H(R+S+L)'!T58="N.P.",'H(R+S+L)'!T58="",Moore!R58=""),"",'H(R+S+L)'!T58-Moore!R58)</f>
      </c>
      <c r="S58" s="341">
        <f>IF(OR('H(R+S+L)'!U58="N.P.",'H(R+S+L)'!U58="",Moore!S58=""),"",'H(R+S+L)'!U58-Moore!S58)</f>
      </c>
      <c r="T58" s="342">
        <f>IF(OR('H(R+S+L)'!V58="N.P.",'H(R+S+L)'!V58="",Moore!T58=""),"",'H(R+S+L)'!V58-Moore!T58)</f>
      </c>
      <c r="U58" s="347">
        <f>IF(OR('H(R+S+L)'!W58="N.P.",'H(R+S+L)'!W58="",Moore!U58=""),"",'H(R+S+L)'!W58-Moore!U58)</f>
      </c>
      <c r="V58" s="341">
        <f>IF(OR('H(R+S+L)'!X58="N.P.",'H(R+S+L)'!X58="",Moore!V58=""),"",'H(R+S+L)'!X58-Moore!V58)</f>
      </c>
      <c r="W58" s="341">
        <f>IF(OR('H(R+S+L)'!Y58="N.P.",'H(R+S+L)'!Y58="",Moore!W58=""),"",'H(R+S+L)'!Y58-Moore!W58)</f>
      </c>
      <c r="X58" s="341">
        <f>IF(OR('H(R+S+L)'!Z58="N.P.",'H(R+S+L)'!Z58="",Moore!X58=""),"",'H(R+S+L)'!Z58-Moore!X58)</f>
      </c>
      <c r="Y58" s="341">
        <f>IF(OR('H(R+S+L)'!AA58="N.P.",'H(R+S+L)'!AA58="",Moore!Y58=""),"",'H(R+S+L)'!AA58-Moore!Y58)</f>
      </c>
      <c r="Z58" s="341">
        <f>IF(OR('H(R+S+L)'!AB58="N.P.",'H(R+S+L)'!AB58="",Moore!Z58=""),"",'H(R+S+L)'!AB58-Moore!Z58)</f>
        <v>0.09368738258854137</v>
      </c>
      <c r="AA58" s="342">
        <f>IF(OR('H(R+S+L)'!AC58="N.P.",'H(R+S+L)'!AC58="",Moore!AA58=""),"",'H(R+S+L)'!AC58-Moore!AA58)</f>
      </c>
      <c r="AB58" s="347">
        <f>IF(OR('H(R+S+L)'!AD58="N.P.",'H(R+S+L)'!AD58="",Moore!AB58=""),"",'H(R+S+L)'!AD58-Moore!AB58)</f>
      </c>
      <c r="AC58" s="341">
        <f>IF(OR('H(R+S+L)'!AE58="N.P.",'H(R+S+L)'!AE58="",Moore!AC58=""),"",'H(R+S+L)'!AE58-Moore!AC58)</f>
      </c>
      <c r="AD58" s="341">
        <f>IF(OR('H(R+S+L)'!AF58="N.P.",'H(R+S+L)'!AF58="",Moore!AD58=""),"",'H(R+S+L)'!AF58-Moore!AD58)</f>
      </c>
      <c r="AE58" s="341">
        <f>IF(OR('H(R+S+L)'!AG58="N.P.",'H(R+S+L)'!AG58="",Moore!AE58=""),"",'H(R+S+L)'!AG58-Moore!AE58)</f>
      </c>
      <c r="AF58" s="341">
        <f>IF(OR('H(R+S+L)'!AH58="N.P.",'H(R+S+L)'!AH58="",Moore!AF58=""),"",'H(R+S+L)'!AH58-Moore!AF58)</f>
      </c>
      <c r="AG58" s="341">
        <f>IF(OR('H(R+S+L)'!AI58="N.P.",'H(R+S+L)'!AI58="",Moore!AG58=""),"",'H(R+S+L)'!AI58-Moore!AG58)</f>
      </c>
      <c r="AH58" s="341">
        <f>IF(OR('H(R+S+L)'!AJ58="N.P.",'H(R+S+L)'!AJ58="",Moore!AH58=""),"",'H(R+S+L)'!AJ58-Moore!AH58)</f>
      </c>
      <c r="AI58" s="341">
        <f>IF(OR('H(R+S+L)'!AK58="N.P.",'H(R+S+L)'!AK58="",Moore!AI58=""),"",'H(R+S+L)'!AK58-Moore!AI58)</f>
      </c>
      <c r="AJ58" s="342">
        <f>IF(OR('H(R+S+L)'!AL58="N.P.",'H(R+S+L)'!AL58="",Moore!AJ58=""),"",'H(R+S+L)'!AL58-Moore!AJ58)</f>
      </c>
      <c r="AK58" s="347">
        <f>IF(OR('H(R+S+L)'!AM58="N.P.",'H(R+S+L)'!AM58="",Moore!AK58=""),"",'H(R+S+L)'!AM58-Moore!AK58)</f>
      </c>
      <c r="AL58" s="341">
        <f>IF(OR('H(R+S+L)'!AN58="N.P.",'H(R+S+L)'!AN58="",Moore!AL58=""),"",'H(R+S+L)'!AN58-Moore!AL58)</f>
      </c>
      <c r="AM58" s="341">
        <f>IF(OR('H(R+S+L)'!AO58="N.P.",'H(R+S+L)'!AO58="",Moore!AM58=""),"",'H(R+S+L)'!AO58-Moore!AM58)</f>
      </c>
      <c r="AN58" s="341">
        <f>IF(OR('H(R+S+L)'!AP58="N.P.",'H(R+S+L)'!AP58="",Moore!AN58=""),"",'H(R+S+L)'!AP58-Moore!AN58)</f>
      </c>
      <c r="AO58" s="341">
        <f>IF(OR('H(R+S+L)'!AQ58="N.P.",'H(R+S+L)'!AQ58="",Moore!AO58=""),"",'H(R+S+L)'!AQ58-Moore!AO58)</f>
      </c>
      <c r="AP58" s="341">
        <f>IF(OR('H(R+S+L)'!AR58="N.P.",'H(R+S+L)'!AR58="",Moore!AP58=""),"",'H(R+S+L)'!AR58-Moore!AP58)</f>
      </c>
      <c r="AQ58" s="341">
        <f>IF(OR('H(R+S+L)'!AS58="N.P.",'H(R+S+L)'!AS58="",Moore!AQ58=""),"",'H(R+S+L)'!AS58-Moore!AQ58)</f>
      </c>
      <c r="AR58" s="341">
        <f>IF(OR('H(R+S+L)'!AT58="N.P.",'H(R+S+L)'!AT58="",Moore!AR58=""),"",'H(R+S+L)'!AT58-Moore!AR58)</f>
      </c>
      <c r="AS58" s="341">
        <f>IF(OR('H(R+S+L)'!AU58="N.P.",'H(R+S+L)'!AU58="",Moore!AS58=""),"",'H(R+S+L)'!AU58-Moore!AS58)</f>
      </c>
      <c r="AT58" s="341">
        <f>IF(OR('H(R+S+L)'!AV58="N.P.",'H(R+S+L)'!AV58="",Moore!AT58=""),"",'H(R+S+L)'!AV58-Moore!AT58)</f>
      </c>
      <c r="AU58" s="342">
        <f>IF(OR('H(R+S+L)'!AW58="N.P.",'H(R+S+L)'!AW58="",Moore!AU58=""),"",'H(R+S+L)'!AW58-Moore!AU58)</f>
      </c>
      <c r="AV58" s="347">
        <f>IF(OR('H(R+S+L)'!AX58="N.P.",'H(R+S+L)'!AX58="",Moore!AV58=""),"",'H(R+S+L)'!AX58-Moore!AV58)</f>
      </c>
      <c r="AW58" s="341">
        <f>IF(OR('H(R+S+L)'!AY58="N.P.",'H(R+S+L)'!AY58="",Moore!AW58=""),"",'H(R+S+L)'!AY58-Moore!AW58)</f>
      </c>
      <c r="AX58" s="341">
        <f>IF(OR('H(R+S+L)'!AZ58="N.P.",'H(R+S+L)'!AZ58="",Moore!AX58=""),"",'H(R+S+L)'!AZ58-Moore!AX58)</f>
      </c>
      <c r="AY58" s="341">
        <f>IF(OR('H(R+S+L)'!BA58="N.P.",'H(R+S+L)'!BA58="",Moore!AY58=""),"",'H(R+S+L)'!BA58-Moore!AY58)</f>
      </c>
      <c r="AZ58" s="341">
        <f>IF(OR('H(R+S+L)'!BB58="N.P.",'H(R+S+L)'!BB58="",Moore!AZ58=""),"",'H(R+S+L)'!BB58-Moore!AZ58)</f>
      </c>
      <c r="BA58" s="341">
        <f>IF(OR('H(R+S+L)'!BC58="N.P.",'H(R+S+L)'!BC58="",Moore!BA58=""),"",'H(R+S+L)'!BC58-Moore!BA58)</f>
      </c>
      <c r="BB58" s="341">
        <f>IF(OR('H(R+S+L)'!BD58="N.P.",'H(R+S+L)'!BD58="",Moore!BB58=""),"",'H(R+S+L)'!BD58-Moore!BB58)</f>
      </c>
      <c r="BC58" s="341">
        <f>IF(OR('H(R+S+L)'!BE58="N.P.",'H(R+S+L)'!BE58="",Moore!BC58=""),"",'H(R+S+L)'!BE58-Moore!BC58)</f>
      </c>
      <c r="BD58" s="341">
        <f>IF(OR('H(R+S+L)'!BF58="N.P.",'H(R+S+L)'!BF58="",Moore!BD58=""),"",'H(R+S+L)'!BF58-Moore!BD58)</f>
      </c>
      <c r="BE58" s="341">
        <f>IF(OR('H(R+S+L)'!BG58="N.P.",'H(R+S+L)'!BG58="",Moore!BE58=""),"",'H(R+S+L)'!BG58-Moore!BE58)</f>
      </c>
      <c r="BF58" s="341">
        <f>IF(OR('H(R+S+L)'!BH58="N.P.",'H(R+S+L)'!BH58="",Moore!BF58=""),"",'H(R+S+L)'!BH58-Moore!BF58)</f>
      </c>
      <c r="BG58" s="341">
        <f>IF(OR('H(R+S+L)'!BI58="N.P.",'H(R+S+L)'!BI58="",Moore!BG58=""),"",'H(R+S+L)'!BI58-Moore!BG58)</f>
      </c>
      <c r="BH58" s="342">
        <f>IF(OR('H(R+S+L)'!BJ58="N.P.",'H(R+S+L)'!BJ58="",Moore!BH58=""),"",'H(R+S+L)'!BJ58-Moore!BH58)</f>
      </c>
    </row>
    <row r="59" spans="7:60" ht="12.75">
      <c r="G59" s="788"/>
      <c r="H59" s="337">
        <f>'H(R+S+L)'!J59*1-Moore!H59</f>
        <v>-0.0004420671466505155</v>
      </c>
      <c r="I59" s="297">
        <v>7</v>
      </c>
      <c r="J59" s="298">
        <v>4.5</v>
      </c>
      <c r="K59" s="296" t="s">
        <v>15</v>
      </c>
      <c r="L59" s="695">
        <f>IF(OR('H(R+S+L)'!N59="N.P.",'H(R+S+L)'!N59="",Moore!L59=""),"",'H(R+S+L)'!N59-Moore!L59)</f>
      </c>
      <c r="M59" s="347">
        <f>IF(OR('H(R+S+L)'!O59="N.P.",'H(R+S+L)'!O59="",Moore!M59=""),"",'H(R+S+L)'!O59-Moore!M59)</f>
      </c>
      <c r="N59" s="341">
        <f>IF(OR('H(R+S+L)'!P59="N.P.",'H(R+S+L)'!P59="",Moore!N59=""),"",'H(R+S+L)'!P59-Moore!N59)</f>
      </c>
      <c r="O59" s="342">
        <f>IF(OR('H(R+S+L)'!Q59="N.P.",'H(R+S+L)'!Q59="",Moore!O59=""),"",'H(R+S+L)'!Q59-Moore!O59)</f>
      </c>
      <c r="P59" s="347">
        <f>IF(OR('H(R+S+L)'!R59="N.P.",'H(R+S+L)'!R59="",Moore!P59=""),"",'H(R+S+L)'!R59-Moore!P59)</f>
      </c>
      <c r="Q59" s="341">
        <f>IF(OR('H(R+S+L)'!S59="N.P.",'H(R+S+L)'!S59="",Moore!Q59=""),"",'H(R+S+L)'!S59-Moore!Q59)</f>
      </c>
      <c r="R59" s="341">
        <f>IF(OR('H(R+S+L)'!T59="N.P.",'H(R+S+L)'!T59="",Moore!R59=""),"",'H(R+S+L)'!T59-Moore!R59)</f>
      </c>
      <c r="S59" s="341">
        <f>IF(OR('H(R+S+L)'!U59="N.P.",'H(R+S+L)'!U59="",Moore!S59=""),"",'H(R+S+L)'!U59-Moore!S59)</f>
      </c>
      <c r="T59" s="342">
        <f>IF(OR('H(R+S+L)'!V59="N.P.",'H(R+S+L)'!V59="",Moore!T59=""),"",'H(R+S+L)'!V59-Moore!T59)</f>
      </c>
      <c r="U59" s="347">
        <f>IF(OR('H(R+S+L)'!W59="N.P.",'H(R+S+L)'!W59="",Moore!U59=""),"",'H(R+S+L)'!W59-Moore!U59)</f>
      </c>
      <c r="V59" s="341">
        <f>IF(OR('H(R+S+L)'!X59="N.P.",'H(R+S+L)'!X59="",Moore!V59=""),"",'H(R+S+L)'!X59-Moore!V59)</f>
      </c>
      <c r="W59" s="341">
        <f>IF(OR('H(R+S+L)'!Y59="N.P.",'H(R+S+L)'!Y59="",Moore!W59=""),"",'H(R+S+L)'!Y59-Moore!W59)</f>
      </c>
      <c r="X59" s="341">
        <f>IF(OR('H(R+S+L)'!Z59="N.P.",'H(R+S+L)'!Z59="",Moore!X59=""),"",'H(R+S+L)'!Z59-Moore!X59)</f>
      </c>
      <c r="Y59" s="341">
        <f>IF(OR('H(R+S+L)'!AA59="N.P.",'H(R+S+L)'!AA59="",Moore!Y59=""),"",'H(R+S+L)'!AA59-Moore!Y59)</f>
      </c>
      <c r="Z59" s="341">
        <f>IF(OR('H(R+S+L)'!AB59="N.P.",'H(R+S+L)'!AB59="",Moore!Z59=""),"",'H(R+S+L)'!AB59-Moore!Z59)</f>
      </c>
      <c r="AA59" s="342">
        <f>IF(OR('H(R+S+L)'!AC59="N.P.",'H(R+S+L)'!AC59="",Moore!AA59=""),"",'H(R+S+L)'!AC59-Moore!AA59)</f>
      </c>
      <c r="AB59" s="347">
        <f>IF(OR('H(R+S+L)'!AD59="N.P.",'H(R+S+L)'!AD59="",Moore!AB59=""),"",'H(R+S+L)'!AD59-Moore!AB59)</f>
      </c>
      <c r="AC59" s="341">
        <f>IF(OR('H(R+S+L)'!AE59="N.P.",'H(R+S+L)'!AE59="",Moore!AC59=""),"",'H(R+S+L)'!AE59-Moore!AC59)</f>
      </c>
      <c r="AD59" s="341">
        <f>IF(OR('H(R+S+L)'!AF59="N.P.",'H(R+S+L)'!AF59="",Moore!AD59=""),"",'H(R+S+L)'!AF59-Moore!AD59)</f>
      </c>
      <c r="AE59" s="341">
        <f>IF(OR('H(R+S+L)'!AG59="N.P.",'H(R+S+L)'!AG59="",Moore!AE59=""),"",'H(R+S+L)'!AG59-Moore!AE59)</f>
      </c>
      <c r="AF59" s="341">
        <f>IF(OR('H(R+S+L)'!AH59="N.P.",'H(R+S+L)'!AH59="",Moore!AF59=""),"",'H(R+S+L)'!AH59-Moore!AF59)</f>
      </c>
      <c r="AG59" s="341">
        <f>IF(OR('H(R+S+L)'!AI59="N.P.",'H(R+S+L)'!AI59="",Moore!AG59=""),"",'H(R+S+L)'!AI59-Moore!AG59)</f>
      </c>
      <c r="AH59" s="341">
        <f>IF(OR('H(R+S+L)'!AJ59="N.P.",'H(R+S+L)'!AJ59="",Moore!AH59=""),"",'H(R+S+L)'!AJ59-Moore!AH59)</f>
      </c>
      <c r="AI59" s="341">
        <f>IF(OR('H(R+S+L)'!AK59="N.P.",'H(R+S+L)'!AK59="",Moore!AI59=""),"",'H(R+S+L)'!AK59-Moore!AI59)</f>
      </c>
      <c r="AJ59" s="342">
        <f>IF(OR('H(R+S+L)'!AL59="N.P.",'H(R+S+L)'!AL59="",Moore!AJ59=""),"",'H(R+S+L)'!AL59-Moore!AJ59)</f>
      </c>
      <c r="AK59" s="347">
        <f>IF(OR('H(R+S+L)'!AM59="N.P.",'H(R+S+L)'!AM59="",Moore!AK59=""),"",'H(R+S+L)'!AM59-Moore!AK59)</f>
      </c>
      <c r="AL59" s="341">
        <f>IF(OR('H(R+S+L)'!AN59="N.P.",'H(R+S+L)'!AN59="",Moore!AL59=""),"",'H(R+S+L)'!AN59-Moore!AL59)</f>
      </c>
      <c r="AM59" s="341">
        <f>IF(OR('H(R+S+L)'!AO59="N.P.",'H(R+S+L)'!AO59="",Moore!AM59=""),"",'H(R+S+L)'!AO59-Moore!AM59)</f>
      </c>
      <c r="AN59" s="341">
        <f>IF(OR('H(R+S+L)'!AP59="N.P.",'H(R+S+L)'!AP59="",Moore!AN59=""),"",'H(R+S+L)'!AP59-Moore!AN59)</f>
      </c>
      <c r="AO59" s="341">
        <f>IF(OR('H(R+S+L)'!AQ59="N.P.",'H(R+S+L)'!AQ59="",Moore!AO59=""),"",'H(R+S+L)'!AQ59-Moore!AO59)</f>
      </c>
      <c r="AP59" s="341">
        <f>IF(OR('H(R+S+L)'!AR59="N.P.",'H(R+S+L)'!AR59="",Moore!AP59=""),"",'H(R+S+L)'!AR59-Moore!AP59)</f>
      </c>
      <c r="AQ59" s="341">
        <f>IF(OR('H(R+S+L)'!AS59="N.P.",'H(R+S+L)'!AS59="",Moore!AQ59=""),"",'H(R+S+L)'!AS59-Moore!AQ59)</f>
      </c>
      <c r="AR59" s="341">
        <f>IF(OR('H(R+S+L)'!AT59="N.P.",'H(R+S+L)'!AT59="",Moore!AR59=""),"",'H(R+S+L)'!AT59-Moore!AR59)</f>
      </c>
      <c r="AS59" s="341">
        <f>IF(OR('H(R+S+L)'!AU59="N.P.",'H(R+S+L)'!AU59="",Moore!AS59=""),"",'H(R+S+L)'!AU59-Moore!AS59)</f>
      </c>
      <c r="AT59" s="341">
        <f>IF(OR('H(R+S+L)'!AV59="N.P.",'H(R+S+L)'!AV59="",Moore!AT59=""),"",'H(R+S+L)'!AV59-Moore!AT59)</f>
      </c>
      <c r="AU59" s="342">
        <f>IF(OR('H(R+S+L)'!AW59="N.P.",'H(R+S+L)'!AW59="",Moore!AU59=""),"",'H(R+S+L)'!AW59-Moore!AU59)</f>
      </c>
      <c r="AV59" s="347">
        <f>IF(OR('H(R+S+L)'!AX59="N.P.",'H(R+S+L)'!AX59="",Moore!AV59=""),"",'H(R+S+L)'!AX59-Moore!AV59)</f>
      </c>
      <c r="AW59" s="341">
        <f>IF(OR('H(R+S+L)'!AY59="N.P.",'H(R+S+L)'!AY59="",Moore!AW59=""),"",'H(R+S+L)'!AY59-Moore!AW59)</f>
      </c>
      <c r="AX59" s="341">
        <f>IF(OR('H(R+S+L)'!AZ59="N.P.",'H(R+S+L)'!AZ59="",Moore!AX59=""),"",'H(R+S+L)'!AZ59-Moore!AX59)</f>
      </c>
      <c r="AY59" s="341">
        <f>IF(OR('H(R+S+L)'!BA59="N.P.",'H(R+S+L)'!BA59="",Moore!AY59=""),"",'H(R+S+L)'!BA59-Moore!AY59)</f>
      </c>
      <c r="AZ59" s="341">
        <f>IF(OR('H(R+S+L)'!BB59="N.P.",'H(R+S+L)'!BB59="",Moore!AZ59=""),"",'H(R+S+L)'!BB59-Moore!AZ59)</f>
      </c>
      <c r="BA59" s="341">
        <f>IF(OR('H(R+S+L)'!BC59="N.P.",'H(R+S+L)'!BC59="",Moore!BA59=""),"",'H(R+S+L)'!BC59-Moore!BA59)</f>
      </c>
      <c r="BB59" s="341">
        <f>IF(OR('H(R+S+L)'!BD59="N.P.",'H(R+S+L)'!BD59="",Moore!BB59=""),"",'H(R+S+L)'!BD59-Moore!BB59)</f>
      </c>
      <c r="BC59" s="341">
        <f>IF(OR('H(R+S+L)'!BE59="N.P.",'H(R+S+L)'!BE59="",Moore!BC59=""),"",'H(R+S+L)'!BE59-Moore!BC59)</f>
      </c>
      <c r="BD59" s="341">
        <f>IF(OR('H(R+S+L)'!BF59="N.P.",'H(R+S+L)'!BF59="",Moore!BD59=""),"",'H(R+S+L)'!BF59-Moore!BD59)</f>
      </c>
      <c r="BE59" s="341">
        <f>IF(OR('H(R+S+L)'!BG59="N.P.",'H(R+S+L)'!BG59="",Moore!BE59=""),"",'H(R+S+L)'!BG59-Moore!BE59)</f>
      </c>
      <c r="BF59" s="341">
        <f>IF(OR('H(R+S+L)'!BH59="N.P.",'H(R+S+L)'!BH59="",Moore!BF59=""),"",'H(R+S+L)'!BH59-Moore!BF59)</f>
      </c>
      <c r="BG59" s="341">
        <f>IF(OR('H(R+S+L)'!BI59="N.P.",'H(R+S+L)'!BI59="",Moore!BG59=""),"",'H(R+S+L)'!BI59-Moore!BG59)</f>
      </c>
      <c r="BH59" s="342">
        <f>IF(OR('H(R+S+L)'!BJ59="N.P.",'H(R+S+L)'!BJ59="",Moore!BH59=""),"",'H(R+S+L)'!BJ59-Moore!BH59)</f>
      </c>
    </row>
    <row r="60" spans="7:60" ht="12.75">
      <c r="G60" s="788"/>
      <c r="H60" s="337">
        <f>'H(R+S+L)'!J60*1-Moore!H60</f>
        <v>-0.00020184883032925427</v>
      </c>
      <c r="I60" s="297">
        <v>7</v>
      </c>
      <c r="J60" s="298">
        <v>5.5</v>
      </c>
      <c r="K60" s="296" t="s">
        <v>16</v>
      </c>
      <c r="L60" s="695">
        <f>IF(OR('H(R+S+L)'!N60="N.P.",'H(R+S+L)'!N60="",Moore!L60=""),"",'H(R+S+L)'!N60-Moore!L60)</f>
      </c>
      <c r="M60" s="347">
        <f>IF(OR('H(R+S+L)'!O60="N.P.",'H(R+S+L)'!O60="",Moore!M60=""),"",'H(R+S+L)'!O60-Moore!M60)</f>
      </c>
      <c r="N60" s="341">
        <f>IF(OR('H(R+S+L)'!P60="N.P.",'H(R+S+L)'!P60="",Moore!N60=""),"",'H(R+S+L)'!P60-Moore!N60)</f>
      </c>
      <c r="O60" s="342">
        <f>IF(OR('H(R+S+L)'!Q60="N.P.",'H(R+S+L)'!Q60="",Moore!O60=""),"",'H(R+S+L)'!Q60-Moore!O60)</f>
      </c>
      <c r="P60" s="347">
        <f>IF(OR('H(R+S+L)'!R60="N.P.",'H(R+S+L)'!R60="",Moore!P60=""),"",'H(R+S+L)'!R60-Moore!P60)</f>
      </c>
      <c r="Q60" s="341">
        <f>IF(OR('H(R+S+L)'!S60="N.P.",'H(R+S+L)'!S60="",Moore!Q60=""),"",'H(R+S+L)'!S60-Moore!Q60)</f>
      </c>
      <c r="R60" s="341">
        <f>IF(OR('H(R+S+L)'!T60="N.P.",'H(R+S+L)'!T60="",Moore!R60=""),"",'H(R+S+L)'!T60-Moore!R60)</f>
      </c>
      <c r="S60" s="341">
        <f>IF(OR('H(R+S+L)'!U60="N.P.",'H(R+S+L)'!U60="",Moore!S60=""),"",'H(R+S+L)'!U60-Moore!S60)</f>
      </c>
      <c r="T60" s="342">
        <f>IF(OR('H(R+S+L)'!V60="N.P.",'H(R+S+L)'!V60="",Moore!T60=""),"",'H(R+S+L)'!V60-Moore!T60)</f>
      </c>
      <c r="U60" s="347">
        <f>IF(OR('H(R+S+L)'!W60="N.P.",'H(R+S+L)'!W60="",Moore!U60=""),"",'H(R+S+L)'!W60-Moore!U60)</f>
      </c>
      <c r="V60" s="341">
        <f>IF(OR('H(R+S+L)'!X60="N.P.",'H(R+S+L)'!X60="",Moore!V60=""),"",'H(R+S+L)'!X60-Moore!V60)</f>
      </c>
      <c r="W60" s="341">
        <f>IF(OR('H(R+S+L)'!Y60="N.P.",'H(R+S+L)'!Y60="",Moore!W60=""),"",'H(R+S+L)'!Y60-Moore!W60)</f>
      </c>
      <c r="X60" s="341">
        <f>IF(OR('H(R+S+L)'!Z60="N.P.",'H(R+S+L)'!Z60="",Moore!X60=""),"",'H(R+S+L)'!Z60-Moore!X60)</f>
      </c>
      <c r="Y60" s="341">
        <f>IF(OR('H(R+S+L)'!AA60="N.P.",'H(R+S+L)'!AA60="",Moore!Y60=""),"",'H(R+S+L)'!AA60-Moore!Y60)</f>
      </c>
      <c r="Z60" s="341">
        <f>IF(OR('H(R+S+L)'!AB60="N.P.",'H(R+S+L)'!AB60="",Moore!Z60=""),"",'H(R+S+L)'!AB60-Moore!Z60)</f>
      </c>
      <c r="AA60" s="342">
        <f>IF(OR('H(R+S+L)'!AC60="N.P.",'H(R+S+L)'!AC60="",Moore!AA60=""),"",'H(R+S+L)'!AC60-Moore!AA60)</f>
      </c>
      <c r="AB60" s="347">
        <f>IF(OR('H(R+S+L)'!AD60="N.P.",'H(R+S+L)'!AD60="",Moore!AB60=""),"",'H(R+S+L)'!AD60-Moore!AB60)</f>
      </c>
      <c r="AC60" s="341">
        <f>IF(OR('H(R+S+L)'!AE60="N.P.",'H(R+S+L)'!AE60="",Moore!AC60=""),"",'H(R+S+L)'!AE60-Moore!AC60)</f>
      </c>
      <c r="AD60" s="341">
        <f>IF(OR('H(R+S+L)'!AF60="N.P.",'H(R+S+L)'!AF60="",Moore!AD60=""),"",'H(R+S+L)'!AF60-Moore!AD60)</f>
      </c>
      <c r="AE60" s="341">
        <f>IF(OR('H(R+S+L)'!AG60="N.P.",'H(R+S+L)'!AG60="",Moore!AE60=""),"",'H(R+S+L)'!AG60-Moore!AE60)</f>
      </c>
      <c r="AF60" s="341">
        <f>IF(OR('H(R+S+L)'!AH60="N.P.",'H(R+S+L)'!AH60="",Moore!AF60=""),"",'H(R+S+L)'!AH60-Moore!AF60)</f>
      </c>
      <c r="AG60" s="341">
        <f>IF(OR('H(R+S+L)'!AI60="N.P.",'H(R+S+L)'!AI60="",Moore!AG60=""),"",'H(R+S+L)'!AI60-Moore!AG60)</f>
      </c>
      <c r="AH60" s="341">
        <f>IF(OR('H(R+S+L)'!AJ60="N.P.",'H(R+S+L)'!AJ60="",Moore!AH60=""),"",'H(R+S+L)'!AJ60-Moore!AH60)</f>
      </c>
      <c r="AI60" s="341">
        <f>IF(OR('H(R+S+L)'!AK60="N.P.",'H(R+S+L)'!AK60="",Moore!AI60=""),"",'H(R+S+L)'!AK60-Moore!AI60)</f>
        <v>0.14277281364775263</v>
      </c>
      <c r="AJ60" s="342">
        <f>IF(OR('H(R+S+L)'!AL60="N.P.",'H(R+S+L)'!AL60="",Moore!AJ60=""),"",'H(R+S+L)'!AL60-Moore!AJ60)</f>
      </c>
      <c r="AK60" s="347">
        <f>IF(OR('H(R+S+L)'!AM60="N.P.",'H(R+S+L)'!AM60="",Moore!AK60=""),"",'H(R+S+L)'!AM60-Moore!AK60)</f>
      </c>
      <c r="AL60" s="341">
        <f>IF(OR('H(R+S+L)'!AN60="N.P.",'H(R+S+L)'!AN60="",Moore!AL60=""),"",'H(R+S+L)'!AN60-Moore!AL60)</f>
      </c>
      <c r="AM60" s="341">
        <f>IF(OR('H(R+S+L)'!AO60="N.P.",'H(R+S+L)'!AO60="",Moore!AM60=""),"",'H(R+S+L)'!AO60-Moore!AM60)</f>
      </c>
      <c r="AN60" s="341">
        <f>IF(OR('H(R+S+L)'!AP60="N.P.",'H(R+S+L)'!AP60="",Moore!AN60=""),"",'H(R+S+L)'!AP60-Moore!AN60)</f>
      </c>
      <c r="AO60" s="341">
        <f>IF(OR('H(R+S+L)'!AQ60="N.P.",'H(R+S+L)'!AQ60="",Moore!AO60=""),"",'H(R+S+L)'!AQ60-Moore!AO60)</f>
      </c>
      <c r="AP60" s="341">
        <f>IF(OR('H(R+S+L)'!AR60="N.P.",'H(R+S+L)'!AR60="",Moore!AP60=""),"",'H(R+S+L)'!AR60-Moore!AP60)</f>
      </c>
      <c r="AQ60" s="341">
        <f>IF(OR('H(R+S+L)'!AS60="N.P.",'H(R+S+L)'!AS60="",Moore!AQ60=""),"",'H(R+S+L)'!AS60-Moore!AQ60)</f>
      </c>
      <c r="AR60" s="341">
        <f>IF(OR('H(R+S+L)'!AT60="N.P.",'H(R+S+L)'!AT60="",Moore!AR60=""),"",'H(R+S+L)'!AT60-Moore!AR60)</f>
      </c>
      <c r="AS60" s="341">
        <f>IF(OR('H(R+S+L)'!AU60="N.P.",'H(R+S+L)'!AU60="",Moore!AS60=""),"",'H(R+S+L)'!AU60-Moore!AS60)</f>
      </c>
      <c r="AT60" s="341">
        <f>IF(OR('H(R+S+L)'!AV60="N.P.",'H(R+S+L)'!AV60="",Moore!AT60=""),"",'H(R+S+L)'!AV60-Moore!AT60)</f>
      </c>
      <c r="AU60" s="342">
        <f>IF(OR('H(R+S+L)'!AW60="N.P.",'H(R+S+L)'!AW60="",Moore!AU60=""),"",'H(R+S+L)'!AW60-Moore!AU60)</f>
      </c>
      <c r="AV60" s="347">
        <f>IF(OR('H(R+S+L)'!AX60="N.P.",'H(R+S+L)'!AX60="",Moore!AV60=""),"",'H(R+S+L)'!AX60-Moore!AV60)</f>
      </c>
      <c r="AW60" s="341">
        <f>IF(OR('H(R+S+L)'!AY60="N.P.",'H(R+S+L)'!AY60="",Moore!AW60=""),"",'H(R+S+L)'!AY60-Moore!AW60)</f>
      </c>
      <c r="AX60" s="341">
        <f>IF(OR('H(R+S+L)'!AZ60="N.P.",'H(R+S+L)'!AZ60="",Moore!AX60=""),"",'H(R+S+L)'!AZ60-Moore!AX60)</f>
      </c>
      <c r="AY60" s="341">
        <f>IF(OR('H(R+S+L)'!BA60="N.P.",'H(R+S+L)'!BA60="",Moore!AY60=""),"",'H(R+S+L)'!BA60-Moore!AY60)</f>
      </c>
      <c r="AZ60" s="341">
        <f>IF(OR('H(R+S+L)'!BB60="N.P.",'H(R+S+L)'!BB60="",Moore!AZ60=""),"",'H(R+S+L)'!BB60-Moore!AZ60)</f>
      </c>
      <c r="BA60" s="341">
        <f>IF(OR('H(R+S+L)'!BC60="N.P.",'H(R+S+L)'!BC60="",Moore!BA60=""),"",'H(R+S+L)'!BC60-Moore!BA60)</f>
      </c>
      <c r="BB60" s="341">
        <f>IF(OR('H(R+S+L)'!BD60="N.P.",'H(R+S+L)'!BD60="",Moore!BB60=""),"",'H(R+S+L)'!BD60-Moore!BB60)</f>
      </c>
      <c r="BC60" s="341">
        <f>IF(OR('H(R+S+L)'!BE60="N.P.",'H(R+S+L)'!BE60="",Moore!BC60=""),"",'H(R+S+L)'!BE60-Moore!BC60)</f>
      </c>
      <c r="BD60" s="341">
        <f>IF(OR('H(R+S+L)'!BF60="N.P.",'H(R+S+L)'!BF60="",Moore!BD60=""),"",'H(R+S+L)'!BF60-Moore!BD60)</f>
      </c>
      <c r="BE60" s="341">
        <f>IF(OR('H(R+S+L)'!BG60="N.P.",'H(R+S+L)'!BG60="",Moore!BE60=""),"",'H(R+S+L)'!BG60-Moore!BE60)</f>
      </c>
      <c r="BF60" s="341">
        <f>IF(OR('H(R+S+L)'!BH60="N.P.",'H(R+S+L)'!BH60="",Moore!BF60=""),"",'H(R+S+L)'!BH60-Moore!BF60)</f>
      </c>
      <c r="BG60" s="341">
        <f>IF(OR('H(R+S+L)'!BI60="N.P.",'H(R+S+L)'!BI60="",Moore!BG60=""),"",'H(R+S+L)'!BI60-Moore!BG60)</f>
      </c>
      <c r="BH60" s="342">
        <f>IF(OR('H(R+S+L)'!BJ60="N.P.",'H(R+S+L)'!BJ60="",Moore!BH60=""),"",'H(R+S+L)'!BJ60-Moore!BH60)</f>
      </c>
    </row>
    <row r="61" spans="7:60" ht="12.75">
      <c r="G61" s="788"/>
      <c r="H61" s="337">
        <f>'H(R+S+L)'!J61*1-Moore!H61</f>
        <v>0.000711674991180189</v>
      </c>
      <c r="I61" s="297">
        <v>7</v>
      </c>
      <c r="J61" s="298">
        <v>5.5</v>
      </c>
      <c r="K61" s="296" t="s">
        <v>17</v>
      </c>
      <c r="L61" s="695">
        <f>IF(OR('H(R+S+L)'!N61="N.P.",'H(R+S+L)'!N61="",Moore!L61=""),"",'H(R+S+L)'!N61-Moore!L61)</f>
      </c>
      <c r="M61" s="347">
        <f>IF(OR('H(R+S+L)'!O61="N.P.",'H(R+S+L)'!O61="",Moore!M61=""),"",'H(R+S+L)'!O61-Moore!M61)</f>
      </c>
      <c r="N61" s="341">
        <f>IF(OR('H(R+S+L)'!P61="N.P.",'H(R+S+L)'!P61="",Moore!N61=""),"",'H(R+S+L)'!P61-Moore!N61)</f>
      </c>
      <c r="O61" s="342">
        <f>IF(OR('H(R+S+L)'!Q61="N.P.",'H(R+S+L)'!Q61="",Moore!O61=""),"",'H(R+S+L)'!Q61-Moore!O61)</f>
      </c>
      <c r="P61" s="347">
        <f>IF(OR('H(R+S+L)'!R61="N.P.",'H(R+S+L)'!R61="",Moore!P61=""),"",'H(R+S+L)'!R61-Moore!P61)</f>
      </c>
      <c r="Q61" s="341">
        <f>IF(OR('H(R+S+L)'!S61="N.P.",'H(R+S+L)'!S61="",Moore!Q61=""),"",'H(R+S+L)'!S61-Moore!Q61)</f>
      </c>
      <c r="R61" s="341">
        <f>IF(OR('H(R+S+L)'!T61="N.P.",'H(R+S+L)'!T61="",Moore!R61=""),"",'H(R+S+L)'!T61-Moore!R61)</f>
      </c>
      <c r="S61" s="341">
        <f>IF(OR('H(R+S+L)'!U61="N.P.",'H(R+S+L)'!U61="",Moore!S61=""),"",'H(R+S+L)'!U61-Moore!S61)</f>
      </c>
      <c r="T61" s="342">
        <f>IF(OR('H(R+S+L)'!V61="N.P.",'H(R+S+L)'!V61="",Moore!T61=""),"",'H(R+S+L)'!V61-Moore!T61)</f>
      </c>
      <c r="U61" s="347">
        <f>IF(OR('H(R+S+L)'!W61="N.P.",'H(R+S+L)'!W61="",Moore!U61=""),"",'H(R+S+L)'!W61-Moore!U61)</f>
      </c>
      <c r="V61" s="341">
        <f>IF(OR('H(R+S+L)'!X61="N.P.",'H(R+S+L)'!X61="",Moore!V61=""),"",'H(R+S+L)'!X61-Moore!V61)</f>
      </c>
      <c r="W61" s="341">
        <f>IF(OR('H(R+S+L)'!Y61="N.P.",'H(R+S+L)'!Y61="",Moore!W61=""),"",'H(R+S+L)'!Y61-Moore!W61)</f>
      </c>
      <c r="X61" s="341">
        <f>IF(OR('H(R+S+L)'!Z61="N.P.",'H(R+S+L)'!Z61="",Moore!X61=""),"",'H(R+S+L)'!Z61-Moore!X61)</f>
      </c>
      <c r="Y61" s="341">
        <f>IF(OR('H(R+S+L)'!AA61="N.P.",'H(R+S+L)'!AA61="",Moore!Y61=""),"",'H(R+S+L)'!AA61-Moore!Y61)</f>
      </c>
      <c r="Z61" s="341">
        <f>IF(OR('H(R+S+L)'!AB61="N.P.",'H(R+S+L)'!AB61="",Moore!Z61=""),"",'H(R+S+L)'!AB61-Moore!Z61)</f>
      </c>
      <c r="AA61" s="342">
        <f>IF(OR('H(R+S+L)'!AC61="N.P.",'H(R+S+L)'!AC61="",Moore!AA61=""),"",'H(R+S+L)'!AC61-Moore!AA61)</f>
      </c>
      <c r="AB61" s="347">
        <f>IF(OR('H(R+S+L)'!AD61="N.P.",'H(R+S+L)'!AD61="",Moore!AB61=""),"",'H(R+S+L)'!AD61-Moore!AB61)</f>
      </c>
      <c r="AC61" s="341">
        <f>IF(OR('H(R+S+L)'!AE61="N.P.",'H(R+S+L)'!AE61="",Moore!AC61=""),"",'H(R+S+L)'!AE61-Moore!AC61)</f>
      </c>
      <c r="AD61" s="341">
        <f>IF(OR('H(R+S+L)'!AF61="N.P.",'H(R+S+L)'!AF61="",Moore!AD61=""),"",'H(R+S+L)'!AF61-Moore!AD61)</f>
      </c>
      <c r="AE61" s="341">
        <f>IF(OR('H(R+S+L)'!AG61="N.P.",'H(R+S+L)'!AG61="",Moore!AE61=""),"",'H(R+S+L)'!AG61-Moore!AE61)</f>
      </c>
      <c r="AF61" s="341">
        <f>IF(OR('H(R+S+L)'!AH61="N.P.",'H(R+S+L)'!AH61="",Moore!AF61=""),"",'H(R+S+L)'!AH61-Moore!AF61)</f>
      </c>
      <c r="AG61" s="341">
        <f>IF(OR('H(R+S+L)'!AI61="N.P.",'H(R+S+L)'!AI61="",Moore!AG61=""),"",'H(R+S+L)'!AI61-Moore!AG61)</f>
      </c>
      <c r="AH61" s="341">
        <f>IF(OR('H(R+S+L)'!AJ61="N.P.",'H(R+S+L)'!AJ61="",Moore!AH61=""),"",'H(R+S+L)'!AJ61-Moore!AH61)</f>
      </c>
      <c r="AI61" s="341">
        <f>IF(OR('H(R+S+L)'!AK61="N.P.",'H(R+S+L)'!AK61="",Moore!AI61=""),"",'H(R+S+L)'!AK61-Moore!AI61)</f>
      </c>
      <c r="AJ61" s="342">
        <f>IF(OR('H(R+S+L)'!AL61="N.P.",'H(R+S+L)'!AL61="",Moore!AJ61=""),"",'H(R+S+L)'!AL61-Moore!AJ61)</f>
      </c>
      <c r="AK61" s="347">
        <f>IF(OR('H(R+S+L)'!AM61="N.P.",'H(R+S+L)'!AM61="",Moore!AK61=""),"",'H(R+S+L)'!AM61-Moore!AK61)</f>
      </c>
      <c r="AL61" s="341">
        <f>IF(OR('H(R+S+L)'!AN61="N.P.",'H(R+S+L)'!AN61="",Moore!AL61=""),"",'H(R+S+L)'!AN61-Moore!AL61)</f>
      </c>
      <c r="AM61" s="341">
        <f>IF(OR('H(R+S+L)'!AO61="N.P.",'H(R+S+L)'!AO61="",Moore!AM61=""),"",'H(R+S+L)'!AO61-Moore!AM61)</f>
      </c>
      <c r="AN61" s="341">
        <f>IF(OR('H(R+S+L)'!AP61="N.P.",'H(R+S+L)'!AP61="",Moore!AN61=""),"",'H(R+S+L)'!AP61-Moore!AN61)</f>
      </c>
      <c r="AO61" s="341">
        <f>IF(OR('H(R+S+L)'!AQ61="N.P.",'H(R+S+L)'!AQ61="",Moore!AO61=""),"",'H(R+S+L)'!AQ61-Moore!AO61)</f>
      </c>
      <c r="AP61" s="341">
        <f>IF(OR('H(R+S+L)'!AR61="N.P.",'H(R+S+L)'!AR61="",Moore!AP61=""),"",'H(R+S+L)'!AR61-Moore!AP61)</f>
      </c>
      <c r="AQ61" s="341">
        <f>IF(OR('H(R+S+L)'!AS61="N.P.",'H(R+S+L)'!AS61="",Moore!AQ61=""),"",'H(R+S+L)'!AS61-Moore!AQ61)</f>
      </c>
      <c r="AR61" s="341">
        <f>IF(OR('H(R+S+L)'!AT61="N.P.",'H(R+S+L)'!AT61="",Moore!AR61=""),"",'H(R+S+L)'!AT61-Moore!AR61)</f>
      </c>
      <c r="AS61" s="341">
        <f>IF(OR('H(R+S+L)'!AU61="N.P.",'H(R+S+L)'!AU61="",Moore!AS61=""),"",'H(R+S+L)'!AU61-Moore!AS61)</f>
      </c>
      <c r="AT61" s="341">
        <f>IF(OR('H(R+S+L)'!AV61="N.P.",'H(R+S+L)'!AV61="",Moore!AT61=""),"",'H(R+S+L)'!AV61-Moore!AT61)</f>
      </c>
      <c r="AU61" s="342">
        <f>IF(OR('H(R+S+L)'!AW61="N.P.",'H(R+S+L)'!AW61="",Moore!AU61=""),"",'H(R+S+L)'!AW61-Moore!AU61)</f>
      </c>
      <c r="AV61" s="347">
        <f>IF(OR('H(R+S+L)'!AX61="N.P.",'H(R+S+L)'!AX61="",Moore!AV61=""),"",'H(R+S+L)'!AX61-Moore!AV61)</f>
      </c>
      <c r="AW61" s="341">
        <f>IF(OR('H(R+S+L)'!AY61="N.P.",'H(R+S+L)'!AY61="",Moore!AW61=""),"",'H(R+S+L)'!AY61-Moore!AW61)</f>
      </c>
      <c r="AX61" s="341">
        <f>IF(OR('H(R+S+L)'!AZ61="N.P.",'H(R+S+L)'!AZ61="",Moore!AX61=""),"",'H(R+S+L)'!AZ61-Moore!AX61)</f>
      </c>
      <c r="AY61" s="341">
        <f>IF(OR('H(R+S+L)'!BA61="N.P.",'H(R+S+L)'!BA61="",Moore!AY61=""),"",'H(R+S+L)'!BA61-Moore!AY61)</f>
      </c>
      <c r="AZ61" s="341">
        <f>IF(OR('H(R+S+L)'!BB61="N.P.",'H(R+S+L)'!BB61="",Moore!AZ61=""),"",'H(R+S+L)'!BB61-Moore!AZ61)</f>
      </c>
      <c r="BA61" s="341">
        <f>IF(OR('H(R+S+L)'!BC61="N.P.",'H(R+S+L)'!BC61="",Moore!BA61=""),"",'H(R+S+L)'!BC61-Moore!BA61)</f>
      </c>
      <c r="BB61" s="341">
        <f>IF(OR('H(R+S+L)'!BD61="N.P.",'H(R+S+L)'!BD61="",Moore!BB61=""),"",'H(R+S+L)'!BD61-Moore!BB61)</f>
      </c>
      <c r="BC61" s="341">
        <f>IF(OR('H(R+S+L)'!BE61="N.P.",'H(R+S+L)'!BE61="",Moore!BC61=""),"",'H(R+S+L)'!BE61-Moore!BC61)</f>
      </c>
      <c r="BD61" s="341">
        <f>IF(OR('H(R+S+L)'!BF61="N.P.",'H(R+S+L)'!BF61="",Moore!BD61=""),"",'H(R+S+L)'!BF61-Moore!BD61)</f>
      </c>
      <c r="BE61" s="341">
        <f>IF(OR('H(R+S+L)'!BG61="N.P.",'H(R+S+L)'!BG61="",Moore!BE61=""),"",'H(R+S+L)'!BG61-Moore!BE61)</f>
      </c>
      <c r="BF61" s="341">
        <f>IF(OR('H(R+S+L)'!BH61="N.P.",'H(R+S+L)'!BH61="",Moore!BF61=""),"",'H(R+S+L)'!BH61-Moore!BF61)</f>
      </c>
      <c r="BG61" s="341">
        <f>IF(OR('H(R+S+L)'!BI61="N.P.",'H(R+S+L)'!BI61="",Moore!BG61=""),"",'H(R+S+L)'!BI61-Moore!BG61)</f>
      </c>
      <c r="BH61" s="342">
        <f>IF(OR('H(R+S+L)'!BJ61="N.P.",'H(R+S+L)'!BJ61="",Moore!BH61=""),"",'H(R+S+L)'!BJ61-Moore!BH61)</f>
      </c>
    </row>
    <row r="62" spans="7:60" ht="12.75">
      <c r="G62" s="788"/>
      <c r="H62" s="337">
        <f>'H(R+S+L)'!J62*1-Moore!H62</f>
        <v>0.00048109977797139436</v>
      </c>
      <c r="I62" s="297">
        <v>7</v>
      </c>
      <c r="J62" s="298">
        <v>6.5</v>
      </c>
      <c r="K62" s="296" t="s">
        <v>18</v>
      </c>
      <c r="L62" s="695">
        <f>IF(OR('H(R+S+L)'!N62="N.P.",'H(R+S+L)'!N62="",Moore!L62=""),"",'H(R+S+L)'!N62-Moore!L62)</f>
      </c>
      <c r="M62" s="347">
        <f>IF(OR('H(R+S+L)'!O62="N.P.",'H(R+S+L)'!O62="",Moore!M62=""),"",'H(R+S+L)'!O62-Moore!M62)</f>
      </c>
      <c r="N62" s="341">
        <f>IF(OR('H(R+S+L)'!P62="N.P.",'H(R+S+L)'!P62="",Moore!N62=""),"",'H(R+S+L)'!P62-Moore!N62)</f>
      </c>
      <c r="O62" s="342">
        <f>IF(OR('H(R+S+L)'!Q62="N.P.",'H(R+S+L)'!Q62="",Moore!O62=""),"",'H(R+S+L)'!Q62-Moore!O62)</f>
      </c>
      <c r="P62" s="347">
        <f>IF(OR('H(R+S+L)'!R62="N.P.",'H(R+S+L)'!R62="",Moore!P62=""),"",'H(R+S+L)'!R62-Moore!P62)</f>
      </c>
      <c r="Q62" s="341">
        <f>IF(OR('H(R+S+L)'!S62="N.P.",'H(R+S+L)'!S62="",Moore!Q62=""),"",'H(R+S+L)'!S62-Moore!Q62)</f>
      </c>
      <c r="R62" s="341">
        <f>IF(OR('H(R+S+L)'!T62="N.P.",'H(R+S+L)'!T62="",Moore!R62=""),"",'H(R+S+L)'!T62-Moore!R62)</f>
      </c>
      <c r="S62" s="341">
        <f>IF(OR('H(R+S+L)'!U62="N.P.",'H(R+S+L)'!U62="",Moore!S62=""),"",'H(R+S+L)'!U62-Moore!S62)</f>
      </c>
      <c r="T62" s="342">
        <f>IF(OR('H(R+S+L)'!V62="N.P.",'H(R+S+L)'!V62="",Moore!T62=""),"",'H(R+S+L)'!V62-Moore!T62)</f>
      </c>
      <c r="U62" s="347">
        <f>IF(OR('H(R+S+L)'!W62="N.P.",'H(R+S+L)'!W62="",Moore!U62=""),"",'H(R+S+L)'!W62-Moore!U62)</f>
      </c>
      <c r="V62" s="341">
        <f>IF(OR('H(R+S+L)'!X62="N.P.",'H(R+S+L)'!X62="",Moore!V62=""),"",'H(R+S+L)'!X62-Moore!V62)</f>
      </c>
      <c r="W62" s="341">
        <f>IF(OR('H(R+S+L)'!Y62="N.P.",'H(R+S+L)'!Y62="",Moore!W62=""),"",'H(R+S+L)'!Y62-Moore!W62)</f>
      </c>
      <c r="X62" s="341">
        <f>IF(OR('H(R+S+L)'!Z62="N.P.",'H(R+S+L)'!Z62="",Moore!X62=""),"",'H(R+S+L)'!Z62-Moore!X62)</f>
      </c>
      <c r="Y62" s="341">
        <f>IF(OR('H(R+S+L)'!AA62="N.P.",'H(R+S+L)'!AA62="",Moore!Y62=""),"",'H(R+S+L)'!AA62-Moore!Y62)</f>
      </c>
      <c r="Z62" s="341">
        <f>IF(OR('H(R+S+L)'!AB62="N.P.",'H(R+S+L)'!AB62="",Moore!Z62=""),"",'H(R+S+L)'!AB62-Moore!Z62)</f>
      </c>
      <c r="AA62" s="342">
        <f>IF(OR('H(R+S+L)'!AC62="N.P.",'H(R+S+L)'!AC62="",Moore!AA62=""),"",'H(R+S+L)'!AC62-Moore!AA62)</f>
      </c>
      <c r="AB62" s="347">
        <f>IF(OR('H(R+S+L)'!AD62="N.P.",'H(R+S+L)'!AD62="",Moore!AB62=""),"",'H(R+S+L)'!AD62-Moore!AB62)</f>
      </c>
      <c r="AC62" s="341">
        <f>IF(OR('H(R+S+L)'!AE62="N.P.",'H(R+S+L)'!AE62="",Moore!AC62=""),"",'H(R+S+L)'!AE62-Moore!AC62)</f>
      </c>
      <c r="AD62" s="341">
        <f>IF(OR('H(R+S+L)'!AF62="N.P.",'H(R+S+L)'!AF62="",Moore!AD62=""),"",'H(R+S+L)'!AF62-Moore!AD62)</f>
      </c>
      <c r="AE62" s="341">
        <f>IF(OR('H(R+S+L)'!AG62="N.P.",'H(R+S+L)'!AG62="",Moore!AE62=""),"",'H(R+S+L)'!AG62-Moore!AE62)</f>
      </c>
      <c r="AF62" s="341">
        <f>IF(OR('H(R+S+L)'!AH62="N.P.",'H(R+S+L)'!AH62="",Moore!AF62=""),"",'H(R+S+L)'!AH62-Moore!AF62)</f>
      </c>
      <c r="AG62" s="341">
        <f>IF(OR('H(R+S+L)'!AI62="N.P.",'H(R+S+L)'!AI62="",Moore!AG62=""),"",'H(R+S+L)'!AI62-Moore!AG62)</f>
      </c>
      <c r="AH62" s="341">
        <f>IF(OR('H(R+S+L)'!AJ62="N.P.",'H(R+S+L)'!AJ62="",Moore!AH62=""),"",'H(R+S+L)'!AJ62-Moore!AH62)</f>
      </c>
      <c r="AI62" s="341">
        <f>IF(OR('H(R+S+L)'!AK62="N.P.",'H(R+S+L)'!AK62="",Moore!AI62=""),"",'H(R+S+L)'!AK62-Moore!AI62)</f>
      </c>
      <c r="AJ62" s="342">
        <f>IF(OR('H(R+S+L)'!AL62="N.P.",'H(R+S+L)'!AL62="",Moore!AJ62=""),"",'H(R+S+L)'!AL62-Moore!AJ62)</f>
      </c>
      <c r="AK62" s="347">
        <f>IF(OR('H(R+S+L)'!AM62="N.P.",'H(R+S+L)'!AM62="",Moore!AK62=""),"",'H(R+S+L)'!AM62-Moore!AK62)</f>
      </c>
      <c r="AL62" s="341">
        <f>IF(OR('H(R+S+L)'!AN62="N.P.",'H(R+S+L)'!AN62="",Moore!AL62=""),"",'H(R+S+L)'!AN62-Moore!AL62)</f>
      </c>
      <c r="AM62" s="341">
        <f>IF(OR('H(R+S+L)'!AO62="N.P.",'H(R+S+L)'!AO62="",Moore!AM62=""),"",'H(R+S+L)'!AO62-Moore!AM62)</f>
      </c>
      <c r="AN62" s="341">
        <f>IF(OR('H(R+S+L)'!AP62="N.P.",'H(R+S+L)'!AP62="",Moore!AN62=""),"",'H(R+S+L)'!AP62-Moore!AN62)</f>
      </c>
      <c r="AO62" s="341">
        <f>IF(OR('H(R+S+L)'!AQ62="N.P.",'H(R+S+L)'!AQ62="",Moore!AO62=""),"",'H(R+S+L)'!AQ62-Moore!AO62)</f>
      </c>
      <c r="AP62" s="341">
        <f>IF(OR('H(R+S+L)'!AR62="N.P.",'H(R+S+L)'!AR62="",Moore!AP62=""),"",'H(R+S+L)'!AR62-Moore!AP62)</f>
      </c>
      <c r="AQ62" s="341">
        <f>IF(OR('H(R+S+L)'!AS62="N.P.",'H(R+S+L)'!AS62="",Moore!AQ62=""),"",'H(R+S+L)'!AS62-Moore!AQ62)</f>
      </c>
      <c r="AR62" s="341">
        <f>IF(OR('H(R+S+L)'!AT62="N.P.",'H(R+S+L)'!AT62="",Moore!AR62=""),"",'H(R+S+L)'!AT62-Moore!AR62)</f>
      </c>
      <c r="AS62" s="341">
        <f>IF(OR('H(R+S+L)'!AU62="N.P.",'H(R+S+L)'!AU62="",Moore!AS62=""),"",'H(R+S+L)'!AU62-Moore!AS62)</f>
      </c>
      <c r="AT62" s="341">
        <f>IF(OR('H(R+S+L)'!AV62="N.P.",'H(R+S+L)'!AV62="",Moore!AT62=""),"",'H(R+S+L)'!AV62-Moore!AT62)</f>
        <v>0.11084783154365141</v>
      </c>
      <c r="AU62" s="342">
        <f>IF(OR('H(R+S+L)'!AW62="N.P.",'H(R+S+L)'!AW62="",Moore!AU62=""),"",'H(R+S+L)'!AW62-Moore!AU62)</f>
      </c>
      <c r="AV62" s="347">
        <f>IF(OR('H(R+S+L)'!AX62="N.P.",'H(R+S+L)'!AX62="",Moore!AV62=""),"",'H(R+S+L)'!AX62-Moore!AV62)</f>
      </c>
      <c r="AW62" s="341">
        <f>IF(OR('H(R+S+L)'!AY62="N.P.",'H(R+S+L)'!AY62="",Moore!AW62=""),"",'H(R+S+L)'!AY62-Moore!AW62)</f>
      </c>
      <c r="AX62" s="341">
        <f>IF(OR('H(R+S+L)'!AZ62="N.P.",'H(R+S+L)'!AZ62="",Moore!AX62=""),"",'H(R+S+L)'!AZ62-Moore!AX62)</f>
      </c>
      <c r="AY62" s="341">
        <f>IF(OR('H(R+S+L)'!BA62="N.P.",'H(R+S+L)'!BA62="",Moore!AY62=""),"",'H(R+S+L)'!BA62-Moore!AY62)</f>
      </c>
      <c r="AZ62" s="341">
        <f>IF(OR('H(R+S+L)'!BB62="N.P.",'H(R+S+L)'!BB62="",Moore!AZ62=""),"",'H(R+S+L)'!BB62-Moore!AZ62)</f>
      </c>
      <c r="BA62" s="341">
        <f>IF(OR('H(R+S+L)'!BC62="N.P.",'H(R+S+L)'!BC62="",Moore!BA62=""),"",'H(R+S+L)'!BC62-Moore!BA62)</f>
      </c>
      <c r="BB62" s="341">
        <f>IF(OR('H(R+S+L)'!BD62="N.P.",'H(R+S+L)'!BD62="",Moore!BB62=""),"",'H(R+S+L)'!BD62-Moore!BB62)</f>
      </c>
      <c r="BC62" s="341">
        <f>IF(OR('H(R+S+L)'!BE62="N.P.",'H(R+S+L)'!BE62="",Moore!BC62=""),"",'H(R+S+L)'!BE62-Moore!BC62)</f>
      </c>
      <c r="BD62" s="341">
        <f>IF(OR('H(R+S+L)'!BF62="N.P.",'H(R+S+L)'!BF62="",Moore!BD62=""),"",'H(R+S+L)'!BF62-Moore!BD62)</f>
      </c>
      <c r="BE62" s="341">
        <f>IF(OR('H(R+S+L)'!BG62="N.P.",'H(R+S+L)'!BG62="",Moore!BE62=""),"",'H(R+S+L)'!BG62-Moore!BE62)</f>
      </c>
      <c r="BF62" s="341">
        <f>IF(OR('H(R+S+L)'!BH62="N.P.",'H(R+S+L)'!BH62="",Moore!BF62=""),"",'H(R+S+L)'!BH62-Moore!BF62)</f>
      </c>
      <c r="BG62" s="341">
        <f>IF(OR('H(R+S+L)'!BI62="N.P.",'H(R+S+L)'!BI62="",Moore!BG62=""),"",'H(R+S+L)'!BI62-Moore!BG62)</f>
      </c>
      <c r="BH62" s="342">
        <f>IF(OR('H(R+S+L)'!BJ62="N.P.",'H(R+S+L)'!BJ62="",Moore!BH62=""),"",'H(R+S+L)'!BJ62-Moore!BH62)</f>
      </c>
    </row>
    <row r="63" spans="7:60" ht="13.5" thickBot="1">
      <c r="G63" s="789"/>
      <c r="H63" s="338">
        <f>'H(R+S+L)'!J63*1-Moore!H63</f>
        <v>-0.0007063403754727915</v>
      </c>
      <c r="I63" s="330">
        <v>7</v>
      </c>
      <c r="J63" s="327">
        <v>6.5</v>
      </c>
      <c r="K63" s="328" t="s">
        <v>19</v>
      </c>
      <c r="L63" s="696">
        <f>IF(OR('H(R+S+L)'!N63="N.P.",'H(R+S+L)'!N63="",Moore!L63=""),"",'H(R+S+L)'!N63-Moore!L63)</f>
      </c>
      <c r="M63" s="348">
        <f>IF(OR('H(R+S+L)'!O63="N.P.",'H(R+S+L)'!O63="",Moore!M63=""),"",'H(R+S+L)'!O63-Moore!M63)</f>
      </c>
      <c r="N63" s="343">
        <f>IF(OR('H(R+S+L)'!P63="N.P.",'H(R+S+L)'!P63="",Moore!N63=""),"",'H(R+S+L)'!P63-Moore!N63)</f>
      </c>
      <c r="O63" s="344">
        <f>IF(OR('H(R+S+L)'!Q63="N.P.",'H(R+S+L)'!Q63="",Moore!O63=""),"",'H(R+S+L)'!Q63-Moore!O63)</f>
      </c>
      <c r="P63" s="348">
        <f>IF(OR('H(R+S+L)'!R63="N.P.",'H(R+S+L)'!R63="",Moore!P63=""),"",'H(R+S+L)'!R63-Moore!P63)</f>
      </c>
      <c r="Q63" s="343">
        <f>IF(OR('H(R+S+L)'!S63="N.P.",'H(R+S+L)'!S63="",Moore!Q63=""),"",'H(R+S+L)'!S63-Moore!Q63)</f>
      </c>
      <c r="R63" s="343">
        <f>IF(OR('H(R+S+L)'!T63="N.P.",'H(R+S+L)'!T63="",Moore!R63=""),"",'H(R+S+L)'!T63-Moore!R63)</f>
      </c>
      <c r="S63" s="343">
        <f>IF(OR('H(R+S+L)'!U63="N.P.",'H(R+S+L)'!U63="",Moore!S63=""),"",'H(R+S+L)'!U63-Moore!S63)</f>
      </c>
      <c r="T63" s="344">
        <f>IF(OR('H(R+S+L)'!V63="N.P.",'H(R+S+L)'!V63="",Moore!T63=""),"",'H(R+S+L)'!V63-Moore!T63)</f>
      </c>
      <c r="U63" s="348">
        <f>IF(OR('H(R+S+L)'!W63="N.P.",'H(R+S+L)'!W63="",Moore!U63=""),"",'H(R+S+L)'!W63-Moore!U63)</f>
      </c>
      <c r="V63" s="343">
        <f>IF(OR('H(R+S+L)'!X63="N.P.",'H(R+S+L)'!X63="",Moore!V63=""),"",'H(R+S+L)'!X63-Moore!V63)</f>
      </c>
      <c r="W63" s="343">
        <f>IF(OR('H(R+S+L)'!Y63="N.P.",'H(R+S+L)'!Y63="",Moore!W63=""),"",'H(R+S+L)'!Y63-Moore!W63)</f>
      </c>
      <c r="X63" s="343">
        <f>IF(OR('H(R+S+L)'!Z63="N.P.",'H(R+S+L)'!Z63="",Moore!X63=""),"",'H(R+S+L)'!Z63-Moore!X63)</f>
      </c>
      <c r="Y63" s="343">
        <f>IF(OR('H(R+S+L)'!AA63="N.P.",'H(R+S+L)'!AA63="",Moore!Y63=""),"",'H(R+S+L)'!AA63-Moore!Y63)</f>
      </c>
      <c r="Z63" s="343">
        <f>IF(OR('H(R+S+L)'!AB63="N.P.",'H(R+S+L)'!AB63="",Moore!Z63=""),"",'H(R+S+L)'!AB63-Moore!Z63)</f>
      </c>
      <c r="AA63" s="344">
        <f>IF(OR('H(R+S+L)'!AC63="N.P.",'H(R+S+L)'!AC63="",Moore!AA63=""),"",'H(R+S+L)'!AC63-Moore!AA63)</f>
      </c>
      <c r="AB63" s="348">
        <f>IF(OR('H(R+S+L)'!AD63="N.P.",'H(R+S+L)'!AD63="",Moore!AB63=""),"",'H(R+S+L)'!AD63-Moore!AB63)</f>
      </c>
      <c r="AC63" s="343">
        <f>IF(OR('H(R+S+L)'!AE63="N.P.",'H(R+S+L)'!AE63="",Moore!AC63=""),"",'H(R+S+L)'!AE63-Moore!AC63)</f>
      </c>
      <c r="AD63" s="343">
        <f>IF(OR('H(R+S+L)'!AF63="N.P.",'H(R+S+L)'!AF63="",Moore!AD63=""),"",'H(R+S+L)'!AF63-Moore!AD63)</f>
      </c>
      <c r="AE63" s="343">
        <f>IF(OR('H(R+S+L)'!AG63="N.P.",'H(R+S+L)'!AG63="",Moore!AE63=""),"",'H(R+S+L)'!AG63-Moore!AE63)</f>
      </c>
      <c r="AF63" s="343">
        <f>IF(OR('H(R+S+L)'!AH63="N.P.",'H(R+S+L)'!AH63="",Moore!AF63=""),"",'H(R+S+L)'!AH63-Moore!AF63)</f>
      </c>
      <c r="AG63" s="343">
        <f>IF(OR('H(R+S+L)'!AI63="N.P.",'H(R+S+L)'!AI63="",Moore!AG63=""),"",'H(R+S+L)'!AI63-Moore!AG63)</f>
      </c>
      <c r="AH63" s="343">
        <f>IF(OR('H(R+S+L)'!AJ63="N.P.",'H(R+S+L)'!AJ63="",Moore!AH63=""),"",'H(R+S+L)'!AJ63-Moore!AH63)</f>
      </c>
      <c r="AI63" s="343">
        <f>IF(OR('H(R+S+L)'!AK63="N.P.",'H(R+S+L)'!AK63="",Moore!AI63=""),"",'H(R+S+L)'!AK63-Moore!AI63)</f>
      </c>
      <c r="AJ63" s="344">
        <f>IF(OR('H(R+S+L)'!AL63="N.P.",'H(R+S+L)'!AL63="",Moore!AJ63=""),"",'H(R+S+L)'!AL63-Moore!AJ63)</f>
      </c>
      <c r="AK63" s="348">
        <f>IF(OR('H(R+S+L)'!AM63="N.P.",'H(R+S+L)'!AM63="",Moore!AK63=""),"",'H(R+S+L)'!AM63-Moore!AK63)</f>
      </c>
      <c r="AL63" s="343">
        <f>IF(OR('H(R+S+L)'!AN63="N.P.",'H(R+S+L)'!AN63="",Moore!AL63=""),"",'H(R+S+L)'!AN63-Moore!AL63)</f>
      </c>
      <c r="AM63" s="343">
        <f>IF(OR('H(R+S+L)'!AO63="N.P.",'H(R+S+L)'!AO63="",Moore!AM63=""),"",'H(R+S+L)'!AO63-Moore!AM63)</f>
      </c>
      <c r="AN63" s="343">
        <f>IF(OR('H(R+S+L)'!AP63="N.P.",'H(R+S+L)'!AP63="",Moore!AN63=""),"",'H(R+S+L)'!AP63-Moore!AN63)</f>
      </c>
      <c r="AO63" s="343">
        <f>IF(OR('H(R+S+L)'!AQ63="N.P.",'H(R+S+L)'!AQ63="",Moore!AO63=""),"",'H(R+S+L)'!AQ63-Moore!AO63)</f>
      </c>
      <c r="AP63" s="343">
        <f>IF(OR('H(R+S+L)'!AR63="N.P.",'H(R+S+L)'!AR63="",Moore!AP63=""),"",'H(R+S+L)'!AR63-Moore!AP63)</f>
      </c>
      <c r="AQ63" s="343">
        <f>IF(OR('H(R+S+L)'!AS63="N.P.",'H(R+S+L)'!AS63="",Moore!AQ63=""),"",'H(R+S+L)'!AS63-Moore!AQ63)</f>
      </c>
      <c r="AR63" s="343">
        <f>IF(OR('H(R+S+L)'!AT63="N.P.",'H(R+S+L)'!AT63="",Moore!AR63=""),"",'H(R+S+L)'!AT63-Moore!AR63)</f>
      </c>
      <c r="AS63" s="343">
        <f>IF(OR('H(R+S+L)'!AU63="N.P.",'H(R+S+L)'!AU63="",Moore!AS63=""),"",'H(R+S+L)'!AU63-Moore!AS63)</f>
      </c>
      <c r="AT63" s="343">
        <f>IF(OR('H(R+S+L)'!AV63="N.P.",'H(R+S+L)'!AV63="",Moore!AT63=""),"",'H(R+S+L)'!AV63-Moore!AT63)</f>
      </c>
      <c r="AU63" s="344">
        <f>IF(OR('H(R+S+L)'!AW63="N.P.",'H(R+S+L)'!AW63="",Moore!AU63=""),"",'H(R+S+L)'!AW63-Moore!AU63)</f>
      </c>
      <c r="AV63" s="348">
        <f>IF(OR('H(R+S+L)'!AX63="N.P.",'H(R+S+L)'!AX63="",Moore!AV63=""),"",'H(R+S+L)'!AX63-Moore!AV63)</f>
      </c>
      <c r="AW63" s="343">
        <f>IF(OR('H(R+S+L)'!AY63="N.P.",'H(R+S+L)'!AY63="",Moore!AW63=""),"",'H(R+S+L)'!AY63-Moore!AW63)</f>
      </c>
      <c r="AX63" s="343">
        <f>IF(OR('H(R+S+L)'!AZ63="N.P.",'H(R+S+L)'!AZ63="",Moore!AX63=""),"",'H(R+S+L)'!AZ63-Moore!AX63)</f>
      </c>
      <c r="AY63" s="343">
        <f>IF(OR('H(R+S+L)'!BA63="N.P.",'H(R+S+L)'!BA63="",Moore!AY63=""),"",'H(R+S+L)'!BA63-Moore!AY63)</f>
      </c>
      <c r="AZ63" s="343">
        <f>IF(OR('H(R+S+L)'!BB63="N.P.",'H(R+S+L)'!BB63="",Moore!AZ63=""),"",'H(R+S+L)'!BB63-Moore!AZ63)</f>
      </c>
      <c r="BA63" s="343">
        <f>IF(OR('H(R+S+L)'!BC63="N.P.",'H(R+S+L)'!BC63="",Moore!BA63=""),"",'H(R+S+L)'!BC63-Moore!BA63)</f>
      </c>
      <c r="BB63" s="343">
        <f>IF(OR('H(R+S+L)'!BD63="N.P.",'H(R+S+L)'!BD63="",Moore!BB63=""),"",'H(R+S+L)'!BD63-Moore!BB63)</f>
      </c>
      <c r="BC63" s="343">
        <f>IF(OR('H(R+S+L)'!BE63="N.P.",'H(R+S+L)'!BE63="",Moore!BC63=""),"",'H(R+S+L)'!BE63-Moore!BC63)</f>
      </c>
      <c r="BD63" s="343">
        <f>IF(OR('H(R+S+L)'!BF63="N.P.",'H(R+S+L)'!BF63="",Moore!BD63=""),"",'H(R+S+L)'!BF63-Moore!BD63)</f>
      </c>
      <c r="BE63" s="343">
        <f>IF(OR('H(R+S+L)'!BG63="N.P.",'H(R+S+L)'!BG63="",Moore!BE63=""),"",'H(R+S+L)'!BG63-Moore!BE63)</f>
      </c>
      <c r="BF63" s="343">
        <f>IF(OR('H(R+S+L)'!BH63="N.P.",'H(R+S+L)'!BH63="",Moore!BF63=""),"",'H(R+S+L)'!BH63-Moore!BF63)</f>
      </c>
      <c r="BG63" s="343">
        <f>IF(OR('H(R+S+L)'!BI63="N.P.",'H(R+S+L)'!BI63="",Moore!BG63=""),"",'H(R+S+L)'!BI63-Moore!BG63)</f>
      </c>
      <c r="BH63" s="344">
        <f>IF(OR('H(R+S+L)'!BJ63="N.P.",'H(R+S+L)'!BJ63="",Moore!BH63=""),"",'H(R+S+L)'!BJ63-Moore!BH63)</f>
      </c>
    </row>
    <row r="64" spans="7:60" ht="13.5" thickTop="1">
      <c r="G64" s="788">
        <f>SUM(H64:H78)/15</f>
        <v>0.00026188997144345195</v>
      </c>
      <c r="H64" s="336">
        <f>'H(R+S+L)'!J64*1-Moore!H64</f>
        <v>0.0017299428873229772</v>
      </c>
      <c r="I64" s="332">
        <v>8</v>
      </c>
      <c r="J64" s="333">
        <v>0.5</v>
      </c>
      <c r="K64" s="334" t="s">
        <v>7</v>
      </c>
      <c r="L64" s="697">
        <f>IF(OR('H(R+S+L)'!N64="N.P.",'H(R+S+L)'!N64="",Moore!L64=""),"",'H(R+S+L)'!N64-Moore!L64)</f>
      </c>
      <c r="M64" s="349">
        <f>IF(OR('H(R+S+L)'!O64="N.P.",'H(R+S+L)'!O64="",Moore!M64=""),"",'H(R+S+L)'!O64-Moore!M64)</f>
      </c>
      <c r="N64" s="345">
        <f>IF(OR('H(R+S+L)'!P64="N.P.",'H(R+S+L)'!P64="",Moore!N64=""),"",'H(R+S+L)'!P64-Moore!N64)</f>
      </c>
      <c r="O64" s="346">
        <f>IF(OR('H(R+S+L)'!Q64="N.P.",'H(R+S+L)'!Q64="",Moore!O64=""),"",'H(R+S+L)'!Q64-Moore!O64)</f>
      </c>
      <c r="P64" s="349">
        <f>IF(OR('H(R+S+L)'!R64="N.P.",'H(R+S+L)'!R64="",Moore!P64=""),"",'H(R+S+L)'!R64-Moore!P64)</f>
      </c>
      <c r="Q64" s="345">
        <f>IF(OR('H(R+S+L)'!S64="N.P.",'H(R+S+L)'!S64="",Moore!Q64=""),"",'H(R+S+L)'!S64-Moore!Q64)</f>
      </c>
      <c r="R64" s="345">
        <f>IF(OR('H(R+S+L)'!T64="N.P.",'H(R+S+L)'!T64="",Moore!R64=""),"",'H(R+S+L)'!T64-Moore!R64)</f>
      </c>
      <c r="S64" s="345">
        <f>IF(OR('H(R+S+L)'!U64="N.P.",'H(R+S+L)'!U64="",Moore!S64=""),"",'H(R+S+L)'!U64-Moore!S64)</f>
      </c>
      <c r="T64" s="346">
        <f>IF(OR('H(R+S+L)'!V64="N.P.",'H(R+S+L)'!V64="",Moore!T64=""),"",'H(R+S+L)'!V64-Moore!T64)</f>
      </c>
      <c r="U64" s="349">
        <f>IF(OR('H(R+S+L)'!W64="N.P.",'H(R+S+L)'!W64="",Moore!U64=""),"",'H(R+S+L)'!W64-Moore!U64)</f>
      </c>
      <c r="V64" s="345">
        <f>IF(OR('H(R+S+L)'!X64="N.P.",'H(R+S+L)'!X64="",Moore!V64=""),"",'H(R+S+L)'!X64-Moore!V64)</f>
      </c>
      <c r="W64" s="345">
        <f>IF(OR('H(R+S+L)'!Y64="N.P.",'H(R+S+L)'!Y64="",Moore!W64=""),"",'H(R+S+L)'!Y64-Moore!W64)</f>
      </c>
      <c r="X64" s="345">
        <f>IF(OR('H(R+S+L)'!Z64="N.P.",'H(R+S+L)'!Z64="",Moore!X64=""),"",'H(R+S+L)'!Z64-Moore!X64)</f>
      </c>
      <c r="Y64" s="345">
        <f>IF(OR('H(R+S+L)'!AA64="N.P.",'H(R+S+L)'!AA64="",Moore!Y64=""),"",'H(R+S+L)'!AA64-Moore!Y64)</f>
      </c>
      <c r="Z64" s="345">
        <f>IF(OR('H(R+S+L)'!AB64="N.P.",'H(R+S+L)'!AB64="",Moore!Z64=""),"",'H(R+S+L)'!AB64-Moore!Z64)</f>
      </c>
      <c r="AA64" s="346">
        <f>IF(OR('H(R+S+L)'!AC64="N.P.",'H(R+S+L)'!AC64="",Moore!AA64=""),"",'H(R+S+L)'!AC64-Moore!AA64)</f>
      </c>
      <c r="AB64" s="349">
        <f>IF(OR('H(R+S+L)'!AD64="N.P.",'H(R+S+L)'!AD64="",Moore!AB64=""),"",'H(R+S+L)'!AD64-Moore!AB64)</f>
      </c>
      <c r="AC64" s="345">
        <f>IF(OR('H(R+S+L)'!AE64="N.P.",'H(R+S+L)'!AE64="",Moore!AC64=""),"",'H(R+S+L)'!AE64-Moore!AC64)</f>
      </c>
      <c r="AD64" s="345">
        <f>IF(OR('H(R+S+L)'!AF64="N.P.",'H(R+S+L)'!AF64="",Moore!AD64=""),"",'H(R+S+L)'!AF64-Moore!AD64)</f>
      </c>
      <c r="AE64" s="345">
        <f>IF(OR('H(R+S+L)'!AG64="N.P.",'H(R+S+L)'!AG64="",Moore!AE64=""),"",'H(R+S+L)'!AG64-Moore!AE64)</f>
      </c>
      <c r="AF64" s="345">
        <f>IF(OR('H(R+S+L)'!AH64="N.P.",'H(R+S+L)'!AH64="",Moore!AF64=""),"",'H(R+S+L)'!AH64-Moore!AF64)</f>
      </c>
      <c r="AG64" s="345">
        <f>IF(OR('H(R+S+L)'!AI64="N.P.",'H(R+S+L)'!AI64="",Moore!AG64=""),"",'H(R+S+L)'!AI64-Moore!AG64)</f>
      </c>
      <c r="AH64" s="345">
        <f>IF(OR('H(R+S+L)'!AJ64="N.P.",'H(R+S+L)'!AJ64="",Moore!AH64=""),"",'H(R+S+L)'!AJ64-Moore!AH64)</f>
      </c>
      <c r="AI64" s="345">
        <f>IF(OR('H(R+S+L)'!AK64="N.P.",'H(R+S+L)'!AK64="",Moore!AI64=""),"",'H(R+S+L)'!AK64-Moore!AI64)</f>
      </c>
      <c r="AJ64" s="346">
        <f>IF(OR('H(R+S+L)'!AL64="N.P.",'H(R+S+L)'!AL64="",Moore!AJ64=""),"",'H(R+S+L)'!AL64-Moore!AJ64)</f>
      </c>
      <c r="AK64" s="349">
        <f>IF(OR('H(R+S+L)'!AM64="N.P.",'H(R+S+L)'!AM64="",Moore!AK64=""),"",'H(R+S+L)'!AM64-Moore!AK64)</f>
      </c>
      <c r="AL64" s="345">
        <f>IF(OR('H(R+S+L)'!AN64="N.P.",'H(R+S+L)'!AN64="",Moore!AL64=""),"",'H(R+S+L)'!AN64-Moore!AL64)</f>
      </c>
      <c r="AM64" s="345">
        <f>IF(OR('H(R+S+L)'!AO64="N.P.",'H(R+S+L)'!AO64="",Moore!AM64=""),"",'H(R+S+L)'!AO64-Moore!AM64)</f>
      </c>
      <c r="AN64" s="345">
        <f>IF(OR('H(R+S+L)'!AP64="N.P.",'H(R+S+L)'!AP64="",Moore!AN64=""),"",'H(R+S+L)'!AP64-Moore!AN64)</f>
      </c>
      <c r="AO64" s="345">
        <f>IF(OR('H(R+S+L)'!AQ64="N.P.",'H(R+S+L)'!AQ64="",Moore!AO64=""),"",'H(R+S+L)'!AQ64-Moore!AO64)</f>
      </c>
      <c r="AP64" s="345">
        <f>IF(OR('H(R+S+L)'!AR64="N.P.",'H(R+S+L)'!AR64="",Moore!AP64=""),"",'H(R+S+L)'!AR64-Moore!AP64)</f>
      </c>
      <c r="AQ64" s="345">
        <f>IF(OR('H(R+S+L)'!AS64="N.P.",'H(R+S+L)'!AS64="",Moore!AQ64=""),"",'H(R+S+L)'!AS64-Moore!AQ64)</f>
      </c>
      <c r="AR64" s="345">
        <f>IF(OR('H(R+S+L)'!AT64="N.P.",'H(R+S+L)'!AT64="",Moore!AR64=""),"",'H(R+S+L)'!AT64-Moore!AR64)</f>
      </c>
      <c r="AS64" s="345">
        <f>IF(OR('H(R+S+L)'!AU64="N.P.",'H(R+S+L)'!AU64="",Moore!AS64=""),"",'H(R+S+L)'!AU64-Moore!AS64)</f>
      </c>
      <c r="AT64" s="345">
        <f>IF(OR('H(R+S+L)'!AV64="N.P.",'H(R+S+L)'!AV64="",Moore!AT64=""),"",'H(R+S+L)'!AV64-Moore!AT64)</f>
      </c>
      <c r="AU64" s="346">
        <f>IF(OR('H(R+S+L)'!AW64="N.P.",'H(R+S+L)'!AW64="",Moore!AU64=""),"",'H(R+S+L)'!AW64-Moore!AU64)</f>
      </c>
      <c r="AV64" s="349">
        <f>IF(OR('H(R+S+L)'!AX64="N.P.",'H(R+S+L)'!AX64="",Moore!AV64=""),"",'H(R+S+L)'!AX64-Moore!AV64)</f>
      </c>
      <c r="AW64" s="345">
        <f>IF(OR('H(R+S+L)'!AY64="N.P.",'H(R+S+L)'!AY64="",Moore!AW64=""),"",'H(R+S+L)'!AY64-Moore!AW64)</f>
      </c>
      <c r="AX64" s="345">
        <f>IF(OR('H(R+S+L)'!AZ64="N.P.",'H(R+S+L)'!AZ64="",Moore!AX64=""),"",'H(R+S+L)'!AZ64-Moore!AX64)</f>
      </c>
      <c r="AY64" s="345">
        <f>IF(OR('H(R+S+L)'!BA64="N.P.",'H(R+S+L)'!BA64="",Moore!AY64=""),"",'H(R+S+L)'!BA64-Moore!AY64)</f>
      </c>
      <c r="AZ64" s="345">
        <f>IF(OR('H(R+S+L)'!BB64="N.P.",'H(R+S+L)'!BB64="",Moore!AZ64=""),"",'H(R+S+L)'!BB64-Moore!AZ64)</f>
      </c>
      <c r="BA64" s="345">
        <f>IF(OR('H(R+S+L)'!BC64="N.P.",'H(R+S+L)'!BC64="",Moore!BA64=""),"",'H(R+S+L)'!BC64-Moore!BA64)</f>
      </c>
      <c r="BB64" s="345">
        <f>IF(OR('H(R+S+L)'!BD64="N.P.",'H(R+S+L)'!BD64="",Moore!BB64=""),"",'H(R+S+L)'!BD64-Moore!BB64)</f>
      </c>
      <c r="BC64" s="345">
        <f>IF(OR('H(R+S+L)'!BE64="N.P.",'H(R+S+L)'!BE64="",Moore!BC64=""),"",'H(R+S+L)'!BE64-Moore!BC64)</f>
      </c>
      <c r="BD64" s="345">
        <f>IF(OR('H(R+S+L)'!BF64="N.P.",'H(R+S+L)'!BF64="",Moore!BD64=""),"",'H(R+S+L)'!BF64-Moore!BD64)</f>
      </c>
      <c r="BE64" s="345">
        <f>IF(OR('H(R+S+L)'!BG64="N.P.",'H(R+S+L)'!BG64="",Moore!BE64=""),"",'H(R+S+L)'!BG64-Moore!BE64)</f>
      </c>
      <c r="BF64" s="345">
        <f>IF(OR('H(R+S+L)'!BH64="N.P.",'H(R+S+L)'!BH64="",Moore!BF64=""),"",'H(R+S+L)'!BH64-Moore!BF64)</f>
      </c>
      <c r="BG64" s="345">
        <f>IF(OR('H(R+S+L)'!BI64="N.P.",'H(R+S+L)'!BI64="",Moore!BG64=""),"",'H(R+S+L)'!BI64-Moore!BG64)</f>
      </c>
      <c r="BH64" s="346">
        <f>IF(OR('H(R+S+L)'!BJ64="N.P.",'H(R+S+L)'!BJ64="",Moore!BH64=""),"",'H(R+S+L)'!BJ64-Moore!BH64)</f>
      </c>
    </row>
    <row r="65" spans="7:60" ht="12.75">
      <c r="G65" s="788"/>
      <c r="H65" s="337">
        <f>'H(R+S+L)'!J65*1-Moore!H65</f>
        <v>0.00048133845848497003</v>
      </c>
      <c r="I65" s="297">
        <v>8</v>
      </c>
      <c r="J65" s="298">
        <v>1.5</v>
      </c>
      <c r="K65" s="296" t="s">
        <v>8</v>
      </c>
      <c r="L65" s="695">
        <f>IF(OR('H(R+S+L)'!N65="N.P.",'H(R+S+L)'!N65="",Moore!L65=""),"",'H(R+S+L)'!N65-Moore!L65)</f>
        <v>-3.6847798128292197E-06</v>
      </c>
      <c r="M65" s="347">
        <f>IF(OR('H(R+S+L)'!O65="N.P.",'H(R+S+L)'!O65="",Moore!M65=""),"",'H(R+S+L)'!O65-Moore!M65)</f>
      </c>
      <c r="N65" s="341">
        <f>IF(OR('H(R+S+L)'!P65="N.P.",'H(R+S+L)'!P65="",Moore!N65=""),"",'H(R+S+L)'!P65-Moore!N65)</f>
      </c>
      <c r="O65" s="342">
        <f>IF(OR('H(R+S+L)'!Q65="N.P.",'H(R+S+L)'!Q65="",Moore!O65=""),"",'H(R+S+L)'!Q65-Moore!O65)</f>
      </c>
      <c r="P65" s="347">
        <f>IF(OR('H(R+S+L)'!R65="N.P.",'H(R+S+L)'!R65="",Moore!P65=""),"",'H(R+S+L)'!R65-Moore!P65)</f>
      </c>
      <c r="Q65" s="341">
        <f>IF(OR('H(R+S+L)'!S65="N.P.",'H(R+S+L)'!S65="",Moore!Q65=""),"",'H(R+S+L)'!S65-Moore!Q65)</f>
      </c>
      <c r="R65" s="341">
        <f>IF(OR('H(R+S+L)'!T65="N.P.",'H(R+S+L)'!T65="",Moore!R65=""),"",'H(R+S+L)'!T65-Moore!R65)</f>
      </c>
      <c r="S65" s="341">
        <f>IF(OR('H(R+S+L)'!U65="N.P.",'H(R+S+L)'!U65="",Moore!S65=""),"",'H(R+S+L)'!U65-Moore!S65)</f>
      </c>
      <c r="T65" s="342">
        <f>IF(OR('H(R+S+L)'!V65="N.P.",'H(R+S+L)'!V65="",Moore!T65=""),"",'H(R+S+L)'!V65-Moore!T65)</f>
      </c>
      <c r="U65" s="347">
        <f>IF(OR('H(R+S+L)'!W65="N.P.",'H(R+S+L)'!W65="",Moore!U65=""),"",'H(R+S+L)'!W65-Moore!U65)</f>
      </c>
      <c r="V65" s="341">
        <f>IF(OR('H(R+S+L)'!X65="N.P.",'H(R+S+L)'!X65="",Moore!V65=""),"",'H(R+S+L)'!X65-Moore!V65)</f>
      </c>
      <c r="W65" s="341">
        <f>IF(OR('H(R+S+L)'!Y65="N.P.",'H(R+S+L)'!Y65="",Moore!W65=""),"",'H(R+S+L)'!Y65-Moore!W65)</f>
      </c>
      <c r="X65" s="341">
        <f>IF(OR('H(R+S+L)'!Z65="N.P.",'H(R+S+L)'!Z65="",Moore!X65=""),"",'H(R+S+L)'!Z65-Moore!X65)</f>
      </c>
      <c r="Y65" s="341">
        <f>IF(OR('H(R+S+L)'!AA65="N.P.",'H(R+S+L)'!AA65="",Moore!Y65=""),"",'H(R+S+L)'!AA65-Moore!Y65)</f>
      </c>
      <c r="Z65" s="341">
        <f>IF(OR('H(R+S+L)'!AB65="N.P.",'H(R+S+L)'!AB65="",Moore!Z65=""),"",'H(R+S+L)'!AB65-Moore!Z65)</f>
      </c>
      <c r="AA65" s="342">
        <f>IF(OR('H(R+S+L)'!AC65="N.P.",'H(R+S+L)'!AC65="",Moore!AA65=""),"",'H(R+S+L)'!AC65-Moore!AA65)</f>
      </c>
      <c r="AB65" s="347">
        <f>IF(OR('H(R+S+L)'!AD65="N.P.",'H(R+S+L)'!AD65="",Moore!AB65=""),"",'H(R+S+L)'!AD65-Moore!AB65)</f>
      </c>
      <c r="AC65" s="341">
        <f>IF(OR('H(R+S+L)'!AE65="N.P.",'H(R+S+L)'!AE65="",Moore!AC65=""),"",'H(R+S+L)'!AE65-Moore!AC65)</f>
      </c>
      <c r="AD65" s="341">
        <f>IF(OR('H(R+S+L)'!AF65="N.P.",'H(R+S+L)'!AF65="",Moore!AD65=""),"",'H(R+S+L)'!AF65-Moore!AD65)</f>
      </c>
      <c r="AE65" s="341">
        <f>IF(OR('H(R+S+L)'!AG65="N.P.",'H(R+S+L)'!AG65="",Moore!AE65=""),"",'H(R+S+L)'!AG65-Moore!AE65)</f>
      </c>
      <c r="AF65" s="341">
        <f>IF(OR('H(R+S+L)'!AH65="N.P.",'H(R+S+L)'!AH65="",Moore!AF65=""),"",'H(R+S+L)'!AH65-Moore!AF65)</f>
      </c>
      <c r="AG65" s="341">
        <f>IF(OR('H(R+S+L)'!AI65="N.P.",'H(R+S+L)'!AI65="",Moore!AG65=""),"",'H(R+S+L)'!AI65-Moore!AG65)</f>
      </c>
      <c r="AH65" s="341">
        <f>IF(OR('H(R+S+L)'!AJ65="N.P.",'H(R+S+L)'!AJ65="",Moore!AH65=""),"",'H(R+S+L)'!AJ65-Moore!AH65)</f>
      </c>
      <c r="AI65" s="341">
        <f>IF(OR('H(R+S+L)'!AK65="N.P.",'H(R+S+L)'!AK65="",Moore!AI65=""),"",'H(R+S+L)'!AK65-Moore!AI65)</f>
      </c>
      <c r="AJ65" s="342">
        <f>IF(OR('H(R+S+L)'!AL65="N.P.",'H(R+S+L)'!AL65="",Moore!AJ65=""),"",'H(R+S+L)'!AL65-Moore!AJ65)</f>
      </c>
      <c r="AK65" s="347">
        <f>IF(OR('H(R+S+L)'!AM65="N.P.",'H(R+S+L)'!AM65="",Moore!AK65=""),"",'H(R+S+L)'!AM65-Moore!AK65)</f>
      </c>
      <c r="AL65" s="341">
        <f>IF(OR('H(R+S+L)'!AN65="N.P.",'H(R+S+L)'!AN65="",Moore!AL65=""),"",'H(R+S+L)'!AN65-Moore!AL65)</f>
      </c>
      <c r="AM65" s="341">
        <f>IF(OR('H(R+S+L)'!AO65="N.P.",'H(R+S+L)'!AO65="",Moore!AM65=""),"",'H(R+S+L)'!AO65-Moore!AM65)</f>
      </c>
      <c r="AN65" s="341">
        <f>IF(OR('H(R+S+L)'!AP65="N.P.",'H(R+S+L)'!AP65="",Moore!AN65=""),"",'H(R+S+L)'!AP65-Moore!AN65)</f>
      </c>
      <c r="AO65" s="341">
        <f>IF(OR('H(R+S+L)'!AQ65="N.P.",'H(R+S+L)'!AQ65="",Moore!AO65=""),"",'H(R+S+L)'!AQ65-Moore!AO65)</f>
      </c>
      <c r="AP65" s="341">
        <f>IF(OR('H(R+S+L)'!AR65="N.P.",'H(R+S+L)'!AR65="",Moore!AP65=""),"",'H(R+S+L)'!AR65-Moore!AP65)</f>
      </c>
      <c r="AQ65" s="341">
        <f>IF(OR('H(R+S+L)'!AS65="N.P.",'H(R+S+L)'!AS65="",Moore!AQ65=""),"",'H(R+S+L)'!AS65-Moore!AQ65)</f>
      </c>
      <c r="AR65" s="341">
        <f>IF(OR('H(R+S+L)'!AT65="N.P.",'H(R+S+L)'!AT65="",Moore!AR65=""),"",'H(R+S+L)'!AT65-Moore!AR65)</f>
      </c>
      <c r="AS65" s="341">
        <f>IF(OR('H(R+S+L)'!AU65="N.P.",'H(R+S+L)'!AU65="",Moore!AS65=""),"",'H(R+S+L)'!AU65-Moore!AS65)</f>
      </c>
      <c r="AT65" s="341">
        <f>IF(OR('H(R+S+L)'!AV65="N.P.",'H(R+S+L)'!AV65="",Moore!AT65=""),"",'H(R+S+L)'!AV65-Moore!AT65)</f>
      </c>
      <c r="AU65" s="342">
        <f>IF(OR('H(R+S+L)'!AW65="N.P.",'H(R+S+L)'!AW65="",Moore!AU65=""),"",'H(R+S+L)'!AW65-Moore!AU65)</f>
      </c>
      <c r="AV65" s="347">
        <f>IF(OR('H(R+S+L)'!AX65="N.P.",'H(R+S+L)'!AX65="",Moore!AV65=""),"",'H(R+S+L)'!AX65-Moore!AV65)</f>
      </c>
      <c r="AW65" s="341">
        <f>IF(OR('H(R+S+L)'!AY65="N.P.",'H(R+S+L)'!AY65="",Moore!AW65=""),"",'H(R+S+L)'!AY65-Moore!AW65)</f>
      </c>
      <c r="AX65" s="341">
        <f>IF(OR('H(R+S+L)'!AZ65="N.P.",'H(R+S+L)'!AZ65="",Moore!AX65=""),"",'H(R+S+L)'!AZ65-Moore!AX65)</f>
      </c>
      <c r="AY65" s="341">
        <f>IF(OR('H(R+S+L)'!BA65="N.P.",'H(R+S+L)'!BA65="",Moore!AY65=""),"",'H(R+S+L)'!BA65-Moore!AY65)</f>
      </c>
      <c r="AZ65" s="341">
        <f>IF(OR('H(R+S+L)'!BB65="N.P.",'H(R+S+L)'!BB65="",Moore!AZ65=""),"",'H(R+S+L)'!BB65-Moore!AZ65)</f>
      </c>
      <c r="BA65" s="341">
        <f>IF(OR('H(R+S+L)'!BC65="N.P.",'H(R+S+L)'!BC65="",Moore!BA65=""),"",'H(R+S+L)'!BC65-Moore!BA65)</f>
      </c>
      <c r="BB65" s="341">
        <f>IF(OR('H(R+S+L)'!BD65="N.P.",'H(R+S+L)'!BD65="",Moore!BB65=""),"",'H(R+S+L)'!BD65-Moore!BB65)</f>
      </c>
      <c r="BC65" s="341">
        <f>IF(OR('H(R+S+L)'!BE65="N.P.",'H(R+S+L)'!BE65="",Moore!BC65=""),"",'H(R+S+L)'!BE65-Moore!BC65)</f>
      </c>
      <c r="BD65" s="341">
        <f>IF(OR('H(R+S+L)'!BF65="N.P.",'H(R+S+L)'!BF65="",Moore!BD65=""),"",'H(R+S+L)'!BF65-Moore!BD65)</f>
      </c>
      <c r="BE65" s="341">
        <f>IF(OR('H(R+S+L)'!BG65="N.P.",'H(R+S+L)'!BG65="",Moore!BE65=""),"",'H(R+S+L)'!BG65-Moore!BE65)</f>
      </c>
      <c r="BF65" s="341">
        <f>IF(OR('H(R+S+L)'!BH65="N.P.",'H(R+S+L)'!BH65="",Moore!BF65=""),"",'H(R+S+L)'!BH65-Moore!BF65)</f>
      </c>
      <c r="BG65" s="341">
        <f>IF(OR('H(R+S+L)'!BI65="N.P.",'H(R+S+L)'!BI65="",Moore!BG65=""),"",'H(R+S+L)'!BI65-Moore!BG65)</f>
      </c>
      <c r="BH65" s="342">
        <f>IF(OR('H(R+S+L)'!BJ65="N.P.",'H(R+S+L)'!BJ65="",Moore!BH65=""),"",'H(R+S+L)'!BJ65-Moore!BH65)</f>
      </c>
    </row>
    <row r="66" spans="7:60" ht="12.75">
      <c r="G66" s="788"/>
      <c r="H66" s="337">
        <f>'H(R+S+L)'!J66*1-Moore!H66</f>
        <v>0.0007425207586493343</v>
      </c>
      <c r="I66" s="297">
        <v>8</v>
      </c>
      <c r="J66" s="298">
        <v>1.5</v>
      </c>
      <c r="K66" s="296" t="s">
        <v>9</v>
      </c>
      <c r="L66" s="695">
        <f>IF(OR('H(R+S+L)'!N66="N.P.",'H(R+S+L)'!N66="",Moore!L66=""),"",'H(R+S+L)'!N66-Moore!L66)</f>
        <v>2.6534913786235848E-06</v>
      </c>
      <c r="M66" s="347">
        <f>IF(OR('H(R+S+L)'!O66="N.P.",'H(R+S+L)'!O66="",Moore!M66=""),"",'H(R+S+L)'!O66-Moore!M66)</f>
      </c>
      <c r="N66" s="341">
        <f>IF(OR('H(R+S+L)'!P66="N.P.",'H(R+S+L)'!P66="",Moore!N66=""),"",'H(R+S+L)'!P66-Moore!N66)</f>
      </c>
      <c r="O66" s="342">
        <f>IF(OR('H(R+S+L)'!Q66="N.P.",'H(R+S+L)'!Q66="",Moore!O66=""),"",'H(R+S+L)'!Q66-Moore!O66)</f>
      </c>
      <c r="P66" s="347">
        <f>IF(OR('H(R+S+L)'!R66="N.P.",'H(R+S+L)'!R66="",Moore!P66=""),"",'H(R+S+L)'!R66-Moore!P66)</f>
      </c>
      <c r="Q66" s="341">
        <f>IF(OR('H(R+S+L)'!S66="N.P.",'H(R+S+L)'!S66="",Moore!Q66=""),"",'H(R+S+L)'!S66-Moore!Q66)</f>
      </c>
      <c r="R66" s="341">
        <f>IF(OR('H(R+S+L)'!T66="N.P.",'H(R+S+L)'!T66="",Moore!R66=""),"",'H(R+S+L)'!T66-Moore!R66)</f>
      </c>
      <c r="S66" s="341">
        <f>IF(OR('H(R+S+L)'!U66="N.P.",'H(R+S+L)'!U66="",Moore!S66=""),"",'H(R+S+L)'!U66-Moore!S66)</f>
      </c>
      <c r="T66" s="342">
        <f>IF(OR('H(R+S+L)'!V66="N.P.",'H(R+S+L)'!V66="",Moore!T66=""),"",'H(R+S+L)'!V66-Moore!T66)</f>
      </c>
      <c r="U66" s="347">
        <f>IF(OR('H(R+S+L)'!W66="N.P.",'H(R+S+L)'!W66="",Moore!U66=""),"",'H(R+S+L)'!W66-Moore!U66)</f>
      </c>
      <c r="V66" s="341">
        <f>IF(OR('H(R+S+L)'!X66="N.P.",'H(R+S+L)'!X66="",Moore!V66=""),"",'H(R+S+L)'!X66-Moore!V66)</f>
      </c>
      <c r="W66" s="341">
        <f>IF(OR('H(R+S+L)'!Y66="N.P.",'H(R+S+L)'!Y66="",Moore!W66=""),"",'H(R+S+L)'!Y66-Moore!W66)</f>
      </c>
      <c r="X66" s="341">
        <f>IF(OR('H(R+S+L)'!Z66="N.P.",'H(R+S+L)'!Z66="",Moore!X66=""),"",'H(R+S+L)'!Z66-Moore!X66)</f>
      </c>
      <c r="Y66" s="341">
        <f>IF(OR('H(R+S+L)'!AA66="N.P.",'H(R+S+L)'!AA66="",Moore!Y66=""),"",'H(R+S+L)'!AA66-Moore!Y66)</f>
      </c>
      <c r="Z66" s="341">
        <f>IF(OR('H(R+S+L)'!AB66="N.P.",'H(R+S+L)'!AB66="",Moore!Z66=""),"",'H(R+S+L)'!AB66-Moore!Z66)</f>
      </c>
      <c r="AA66" s="342">
        <f>IF(OR('H(R+S+L)'!AC66="N.P.",'H(R+S+L)'!AC66="",Moore!AA66=""),"",'H(R+S+L)'!AC66-Moore!AA66)</f>
      </c>
      <c r="AB66" s="347">
        <f>IF(OR('H(R+S+L)'!AD66="N.P.",'H(R+S+L)'!AD66="",Moore!AB66=""),"",'H(R+S+L)'!AD66-Moore!AB66)</f>
      </c>
      <c r="AC66" s="341">
        <f>IF(OR('H(R+S+L)'!AE66="N.P.",'H(R+S+L)'!AE66="",Moore!AC66=""),"",'H(R+S+L)'!AE66-Moore!AC66)</f>
      </c>
      <c r="AD66" s="341">
        <f>IF(OR('H(R+S+L)'!AF66="N.P.",'H(R+S+L)'!AF66="",Moore!AD66=""),"",'H(R+S+L)'!AF66-Moore!AD66)</f>
      </c>
      <c r="AE66" s="341">
        <f>IF(OR('H(R+S+L)'!AG66="N.P.",'H(R+S+L)'!AG66="",Moore!AE66=""),"",'H(R+S+L)'!AG66-Moore!AE66)</f>
      </c>
      <c r="AF66" s="341">
        <f>IF(OR('H(R+S+L)'!AH66="N.P.",'H(R+S+L)'!AH66="",Moore!AF66=""),"",'H(R+S+L)'!AH66-Moore!AF66)</f>
      </c>
      <c r="AG66" s="341">
        <f>IF(OR('H(R+S+L)'!AI66="N.P.",'H(R+S+L)'!AI66="",Moore!AG66=""),"",'H(R+S+L)'!AI66-Moore!AG66)</f>
      </c>
      <c r="AH66" s="341">
        <f>IF(OR('H(R+S+L)'!AJ66="N.P.",'H(R+S+L)'!AJ66="",Moore!AH66=""),"",'H(R+S+L)'!AJ66-Moore!AH66)</f>
      </c>
      <c r="AI66" s="341">
        <f>IF(OR('H(R+S+L)'!AK66="N.P.",'H(R+S+L)'!AK66="",Moore!AI66=""),"",'H(R+S+L)'!AK66-Moore!AI66)</f>
      </c>
      <c r="AJ66" s="342">
        <f>IF(OR('H(R+S+L)'!AL66="N.P.",'H(R+S+L)'!AL66="",Moore!AJ66=""),"",'H(R+S+L)'!AL66-Moore!AJ66)</f>
      </c>
      <c r="AK66" s="347">
        <f>IF(OR('H(R+S+L)'!AM66="N.P.",'H(R+S+L)'!AM66="",Moore!AK66=""),"",'H(R+S+L)'!AM66-Moore!AK66)</f>
      </c>
      <c r="AL66" s="341">
        <f>IF(OR('H(R+S+L)'!AN66="N.P.",'H(R+S+L)'!AN66="",Moore!AL66=""),"",'H(R+S+L)'!AN66-Moore!AL66)</f>
      </c>
      <c r="AM66" s="341">
        <f>IF(OR('H(R+S+L)'!AO66="N.P.",'H(R+S+L)'!AO66="",Moore!AM66=""),"",'H(R+S+L)'!AO66-Moore!AM66)</f>
      </c>
      <c r="AN66" s="341">
        <f>IF(OR('H(R+S+L)'!AP66="N.P.",'H(R+S+L)'!AP66="",Moore!AN66=""),"",'H(R+S+L)'!AP66-Moore!AN66)</f>
      </c>
      <c r="AO66" s="341">
        <f>IF(OR('H(R+S+L)'!AQ66="N.P.",'H(R+S+L)'!AQ66="",Moore!AO66=""),"",'H(R+S+L)'!AQ66-Moore!AO66)</f>
      </c>
      <c r="AP66" s="341">
        <f>IF(OR('H(R+S+L)'!AR66="N.P.",'H(R+S+L)'!AR66="",Moore!AP66=""),"",'H(R+S+L)'!AR66-Moore!AP66)</f>
      </c>
      <c r="AQ66" s="341">
        <f>IF(OR('H(R+S+L)'!AS66="N.P.",'H(R+S+L)'!AS66="",Moore!AQ66=""),"",'H(R+S+L)'!AS66-Moore!AQ66)</f>
      </c>
      <c r="AR66" s="341">
        <f>IF(OR('H(R+S+L)'!AT66="N.P.",'H(R+S+L)'!AT66="",Moore!AR66=""),"",'H(R+S+L)'!AT66-Moore!AR66)</f>
      </c>
      <c r="AS66" s="341">
        <f>IF(OR('H(R+S+L)'!AU66="N.P.",'H(R+S+L)'!AU66="",Moore!AS66=""),"",'H(R+S+L)'!AU66-Moore!AS66)</f>
      </c>
      <c r="AT66" s="341">
        <f>IF(OR('H(R+S+L)'!AV66="N.P.",'H(R+S+L)'!AV66="",Moore!AT66=""),"",'H(R+S+L)'!AV66-Moore!AT66)</f>
      </c>
      <c r="AU66" s="342">
        <f>IF(OR('H(R+S+L)'!AW66="N.P.",'H(R+S+L)'!AW66="",Moore!AU66=""),"",'H(R+S+L)'!AW66-Moore!AU66)</f>
      </c>
      <c r="AV66" s="347">
        <f>IF(OR('H(R+S+L)'!AX66="N.P.",'H(R+S+L)'!AX66="",Moore!AV66=""),"",'H(R+S+L)'!AX66-Moore!AV66)</f>
      </c>
      <c r="AW66" s="341">
        <f>IF(OR('H(R+S+L)'!AY66="N.P.",'H(R+S+L)'!AY66="",Moore!AW66=""),"",'H(R+S+L)'!AY66-Moore!AW66)</f>
      </c>
      <c r="AX66" s="341">
        <f>IF(OR('H(R+S+L)'!AZ66="N.P.",'H(R+S+L)'!AZ66="",Moore!AX66=""),"",'H(R+S+L)'!AZ66-Moore!AX66)</f>
      </c>
      <c r="AY66" s="341">
        <f>IF(OR('H(R+S+L)'!BA66="N.P.",'H(R+S+L)'!BA66="",Moore!AY66=""),"",'H(R+S+L)'!BA66-Moore!AY66)</f>
      </c>
      <c r="AZ66" s="341">
        <f>IF(OR('H(R+S+L)'!BB66="N.P.",'H(R+S+L)'!BB66="",Moore!AZ66=""),"",'H(R+S+L)'!BB66-Moore!AZ66)</f>
      </c>
      <c r="BA66" s="341">
        <f>IF(OR('H(R+S+L)'!BC66="N.P.",'H(R+S+L)'!BC66="",Moore!BA66=""),"",'H(R+S+L)'!BC66-Moore!BA66)</f>
      </c>
      <c r="BB66" s="341">
        <f>IF(OR('H(R+S+L)'!BD66="N.P.",'H(R+S+L)'!BD66="",Moore!BB66=""),"",'H(R+S+L)'!BD66-Moore!BB66)</f>
      </c>
      <c r="BC66" s="341">
        <f>IF(OR('H(R+S+L)'!BE66="N.P.",'H(R+S+L)'!BE66="",Moore!BC66=""),"",'H(R+S+L)'!BE66-Moore!BC66)</f>
      </c>
      <c r="BD66" s="341">
        <f>IF(OR('H(R+S+L)'!BF66="N.P.",'H(R+S+L)'!BF66="",Moore!BD66=""),"",'H(R+S+L)'!BF66-Moore!BD66)</f>
      </c>
      <c r="BE66" s="341">
        <f>IF(OR('H(R+S+L)'!BG66="N.P.",'H(R+S+L)'!BG66="",Moore!BE66=""),"",'H(R+S+L)'!BG66-Moore!BE66)</f>
      </c>
      <c r="BF66" s="341">
        <f>IF(OR('H(R+S+L)'!BH66="N.P.",'H(R+S+L)'!BH66="",Moore!BF66=""),"",'H(R+S+L)'!BH66-Moore!BF66)</f>
      </c>
      <c r="BG66" s="341">
        <f>IF(OR('H(R+S+L)'!BI66="N.P.",'H(R+S+L)'!BI66="",Moore!BG66=""),"",'H(R+S+L)'!BI66-Moore!BG66)</f>
      </c>
      <c r="BH66" s="342">
        <f>IF(OR('H(R+S+L)'!BJ66="N.P.",'H(R+S+L)'!BJ66="",Moore!BH66=""),"",'H(R+S+L)'!BJ66-Moore!BH66)</f>
      </c>
    </row>
    <row r="67" spans="7:60" ht="12.75">
      <c r="G67" s="788"/>
      <c r="H67" s="337">
        <f>'H(R+S+L)'!J67*1-Moore!H67</f>
        <v>-0.00047476059990003705</v>
      </c>
      <c r="I67" s="297">
        <v>8</v>
      </c>
      <c r="J67" s="298">
        <v>2.5</v>
      </c>
      <c r="K67" s="296" t="s">
        <v>10</v>
      </c>
      <c r="L67" s="695">
        <f>IF(OR('H(R+S+L)'!N67="N.P.",'H(R+S+L)'!N67="",Moore!L67=""),"",'H(R+S+L)'!N67-Moore!L67)</f>
      </c>
      <c r="M67" s="347">
        <f>IF(OR('H(R+S+L)'!O67="N.P.",'H(R+S+L)'!O67="",Moore!M67=""),"",'H(R+S+L)'!O67-Moore!M67)</f>
      </c>
      <c r="N67" s="341">
        <f>IF(OR('H(R+S+L)'!P67="N.P.",'H(R+S+L)'!P67="",Moore!N67=""),"",'H(R+S+L)'!P67-Moore!N67)</f>
        <v>0.026645155694041023</v>
      </c>
      <c r="O67" s="342">
        <f>IF(OR('H(R+S+L)'!Q67="N.P.",'H(R+S+L)'!Q67="",Moore!O67=""),"",'H(R+S+L)'!Q67-Moore!O67)</f>
      </c>
      <c r="P67" s="347">
        <f>IF(OR('H(R+S+L)'!R67="N.P.",'H(R+S+L)'!R67="",Moore!P67=""),"",'H(R+S+L)'!R67-Moore!P67)</f>
      </c>
      <c r="Q67" s="341">
        <f>IF(OR('H(R+S+L)'!S67="N.P.",'H(R+S+L)'!S67="",Moore!Q67=""),"",'H(R+S+L)'!S67-Moore!Q67)</f>
      </c>
      <c r="R67" s="341">
        <f>IF(OR('H(R+S+L)'!T67="N.P.",'H(R+S+L)'!T67="",Moore!R67=""),"",'H(R+S+L)'!T67-Moore!R67)</f>
      </c>
      <c r="S67" s="341">
        <f>IF(OR('H(R+S+L)'!U67="N.P.",'H(R+S+L)'!U67="",Moore!S67=""),"",'H(R+S+L)'!U67-Moore!S67)</f>
      </c>
      <c r="T67" s="342">
        <f>IF(OR('H(R+S+L)'!V67="N.P.",'H(R+S+L)'!V67="",Moore!T67=""),"",'H(R+S+L)'!V67-Moore!T67)</f>
      </c>
      <c r="U67" s="347">
        <f>IF(OR('H(R+S+L)'!W67="N.P.",'H(R+S+L)'!W67="",Moore!U67=""),"",'H(R+S+L)'!W67-Moore!U67)</f>
      </c>
      <c r="V67" s="341">
        <f>IF(OR('H(R+S+L)'!X67="N.P.",'H(R+S+L)'!X67="",Moore!V67=""),"",'H(R+S+L)'!X67-Moore!V67)</f>
      </c>
      <c r="W67" s="341">
        <f>IF(OR('H(R+S+L)'!Y67="N.P.",'H(R+S+L)'!Y67="",Moore!W67=""),"",'H(R+S+L)'!Y67-Moore!W67)</f>
      </c>
      <c r="X67" s="341">
        <f>IF(OR('H(R+S+L)'!Z67="N.P.",'H(R+S+L)'!Z67="",Moore!X67=""),"",'H(R+S+L)'!Z67-Moore!X67)</f>
      </c>
      <c r="Y67" s="341">
        <f>IF(OR('H(R+S+L)'!AA67="N.P.",'H(R+S+L)'!AA67="",Moore!Y67=""),"",'H(R+S+L)'!AA67-Moore!Y67)</f>
      </c>
      <c r="Z67" s="341">
        <f>IF(OR('H(R+S+L)'!AB67="N.P.",'H(R+S+L)'!AB67="",Moore!Z67=""),"",'H(R+S+L)'!AB67-Moore!Z67)</f>
      </c>
      <c r="AA67" s="342">
        <f>IF(OR('H(R+S+L)'!AC67="N.P.",'H(R+S+L)'!AC67="",Moore!AA67=""),"",'H(R+S+L)'!AC67-Moore!AA67)</f>
      </c>
      <c r="AB67" s="347">
        <f>IF(OR('H(R+S+L)'!AD67="N.P.",'H(R+S+L)'!AD67="",Moore!AB67=""),"",'H(R+S+L)'!AD67-Moore!AB67)</f>
      </c>
      <c r="AC67" s="341">
        <f>IF(OR('H(R+S+L)'!AE67="N.P.",'H(R+S+L)'!AE67="",Moore!AC67=""),"",'H(R+S+L)'!AE67-Moore!AC67)</f>
      </c>
      <c r="AD67" s="341">
        <f>IF(OR('H(R+S+L)'!AF67="N.P.",'H(R+S+L)'!AF67="",Moore!AD67=""),"",'H(R+S+L)'!AF67-Moore!AD67)</f>
      </c>
      <c r="AE67" s="341">
        <f>IF(OR('H(R+S+L)'!AG67="N.P.",'H(R+S+L)'!AG67="",Moore!AE67=""),"",'H(R+S+L)'!AG67-Moore!AE67)</f>
      </c>
      <c r="AF67" s="341">
        <f>IF(OR('H(R+S+L)'!AH67="N.P.",'H(R+S+L)'!AH67="",Moore!AF67=""),"",'H(R+S+L)'!AH67-Moore!AF67)</f>
      </c>
      <c r="AG67" s="341">
        <f>IF(OR('H(R+S+L)'!AI67="N.P.",'H(R+S+L)'!AI67="",Moore!AG67=""),"",'H(R+S+L)'!AI67-Moore!AG67)</f>
      </c>
      <c r="AH67" s="341">
        <f>IF(OR('H(R+S+L)'!AJ67="N.P.",'H(R+S+L)'!AJ67="",Moore!AH67=""),"",'H(R+S+L)'!AJ67-Moore!AH67)</f>
      </c>
      <c r="AI67" s="341">
        <f>IF(OR('H(R+S+L)'!AK67="N.P.",'H(R+S+L)'!AK67="",Moore!AI67=""),"",'H(R+S+L)'!AK67-Moore!AI67)</f>
      </c>
      <c r="AJ67" s="342">
        <f>IF(OR('H(R+S+L)'!AL67="N.P.",'H(R+S+L)'!AL67="",Moore!AJ67=""),"",'H(R+S+L)'!AL67-Moore!AJ67)</f>
      </c>
      <c r="AK67" s="347">
        <f>IF(OR('H(R+S+L)'!AM67="N.P.",'H(R+S+L)'!AM67="",Moore!AK67=""),"",'H(R+S+L)'!AM67-Moore!AK67)</f>
      </c>
      <c r="AL67" s="341">
        <f>IF(OR('H(R+S+L)'!AN67="N.P.",'H(R+S+L)'!AN67="",Moore!AL67=""),"",'H(R+S+L)'!AN67-Moore!AL67)</f>
      </c>
      <c r="AM67" s="341">
        <f>IF(OR('H(R+S+L)'!AO67="N.P.",'H(R+S+L)'!AO67="",Moore!AM67=""),"",'H(R+S+L)'!AO67-Moore!AM67)</f>
      </c>
      <c r="AN67" s="341">
        <f>IF(OR('H(R+S+L)'!AP67="N.P.",'H(R+S+L)'!AP67="",Moore!AN67=""),"",'H(R+S+L)'!AP67-Moore!AN67)</f>
      </c>
      <c r="AO67" s="341">
        <f>IF(OR('H(R+S+L)'!AQ67="N.P.",'H(R+S+L)'!AQ67="",Moore!AO67=""),"",'H(R+S+L)'!AQ67-Moore!AO67)</f>
      </c>
      <c r="AP67" s="341">
        <f>IF(OR('H(R+S+L)'!AR67="N.P.",'H(R+S+L)'!AR67="",Moore!AP67=""),"",'H(R+S+L)'!AR67-Moore!AP67)</f>
      </c>
      <c r="AQ67" s="341">
        <f>IF(OR('H(R+S+L)'!AS67="N.P.",'H(R+S+L)'!AS67="",Moore!AQ67=""),"",'H(R+S+L)'!AS67-Moore!AQ67)</f>
      </c>
      <c r="AR67" s="341">
        <f>IF(OR('H(R+S+L)'!AT67="N.P.",'H(R+S+L)'!AT67="",Moore!AR67=""),"",'H(R+S+L)'!AT67-Moore!AR67)</f>
      </c>
      <c r="AS67" s="341">
        <f>IF(OR('H(R+S+L)'!AU67="N.P.",'H(R+S+L)'!AU67="",Moore!AS67=""),"",'H(R+S+L)'!AU67-Moore!AS67)</f>
      </c>
      <c r="AT67" s="341">
        <f>IF(OR('H(R+S+L)'!AV67="N.P.",'H(R+S+L)'!AV67="",Moore!AT67=""),"",'H(R+S+L)'!AV67-Moore!AT67)</f>
      </c>
      <c r="AU67" s="342">
        <f>IF(OR('H(R+S+L)'!AW67="N.P.",'H(R+S+L)'!AW67="",Moore!AU67=""),"",'H(R+S+L)'!AW67-Moore!AU67)</f>
      </c>
      <c r="AV67" s="347">
        <f>IF(OR('H(R+S+L)'!AX67="N.P.",'H(R+S+L)'!AX67="",Moore!AV67=""),"",'H(R+S+L)'!AX67-Moore!AV67)</f>
      </c>
      <c r="AW67" s="341">
        <f>IF(OR('H(R+S+L)'!AY67="N.P.",'H(R+S+L)'!AY67="",Moore!AW67=""),"",'H(R+S+L)'!AY67-Moore!AW67)</f>
      </c>
      <c r="AX67" s="341">
        <f>IF(OR('H(R+S+L)'!AZ67="N.P.",'H(R+S+L)'!AZ67="",Moore!AX67=""),"",'H(R+S+L)'!AZ67-Moore!AX67)</f>
      </c>
      <c r="AY67" s="341">
        <f>IF(OR('H(R+S+L)'!BA67="N.P.",'H(R+S+L)'!BA67="",Moore!AY67=""),"",'H(R+S+L)'!BA67-Moore!AY67)</f>
      </c>
      <c r="AZ67" s="341">
        <f>IF(OR('H(R+S+L)'!BB67="N.P.",'H(R+S+L)'!BB67="",Moore!AZ67=""),"",'H(R+S+L)'!BB67-Moore!AZ67)</f>
      </c>
      <c r="BA67" s="341">
        <f>IF(OR('H(R+S+L)'!BC67="N.P.",'H(R+S+L)'!BC67="",Moore!BA67=""),"",'H(R+S+L)'!BC67-Moore!BA67)</f>
      </c>
      <c r="BB67" s="341">
        <f>IF(OR('H(R+S+L)'!BD67="N.P.",'H(R+S+L)'!BD67="",Moore!BB67=""),"",'H(R+S+L)'!BD67-Moore!BB67)</f>
      </c>
      <c r="BC67" s="341">
        <f>IF(OR('H(R+S+L)'!BE67="N.P.",'H(R+S+L)'!BE67="",Moore!BC67=""),"",'H(R+S+L)'!BE67-Moore!BC67)</f>
      </c>
      <c r="BD67" s="341">
        <f>IF(OR('H(R+S+L)'!BF67="N.P.",'H(R+S+L)'!BF67="",Moore!BD67=""),"",'H(R+S+L)'!BF67-Moore!BD67)</f>
      </c>
      <c r="BE67" s="341">
        <f>IF(OR('H(R+S+L)'!BG67="N.P.",'H(R+S+L)'!BG67="",Moore!BE67=""),"",'H(R+S+L)'!BG67-Moore!BE67)</f>
      </c>
      <c r="BF67" s="341">
        <f>IF(OR('H(R+S+L)'!BH67="N.P.",'H(R+S+L)'!BH67="",Moore!BF67=""),"",'H(R+S+L)'!BH67-Moore!BF67)</f>
      </c>
      <c r="BG67" s="341">
        <f>IF(OR('H(R+S+L)'!BI67="N.P.",'H(R+S+L)'!BI67="",Moore!BG67=""),"",'H(R+S+L)'!BI67-Moore!BG67)</f>
      </c>
      <c r="BH67" s="342">
        <f>IF(OR('H(R+S+L)'!BJ67="N.P.",'H(R+S+L)'!BJ67="",Moore!BH67=""),"",'H(R+S+L)'!BJ67-Moore!BH67)</f>
      </c>
    </row>
    <row r="68" spans="7:60" ht="12.75">
      <c r="G68" s="788"/>
      <c r="H68" s="337">
        <f>'H(R+S+L)'!J68*1-Moore!H68</f>
        <v>0.0007638812239747494</v>
      </c>
      <c r="I68" s="297">
        <v>8</v>
      </c>
      <c r="J68" s="298">
        <v>2.5</v>
      </c>
      <c r="K68" s="296" t="s">
        <v>11</v>
      </c>
      <c r="L68" s="695">
        <f>IF(OR('H(R+S+L)'!N68="N.P.",'H(R+S+L)'!N68="",Moore!L68=""),"",'H(R+S+L)'!N68-Moore!L68)</f>
      </c>
      <c r="M68" s="347">
        <f>IF(OR('H(R+S+L)'!O68="N.P.",'H(R+S+L)'!O68="",Moore!M68=""),"",'H(R+S+L)'!O68-Moore!M68)</f>
      </c>
      <c r="N68" s="341">
        <f>IF(OR('H(R+S+L)'!P68="N.P.",'H(R+S+L)'!P68="",Moore!N68=""),"",'H(R+S+L)'!P68-Moore!N68)</f>
      </c>
      <c r="O68" s="342">
        <f>IF(OR('H(R+S+L)'!Q68="N.P.",'H(R+S+L)'!Q68="",Moore!O68=""),"",'H(R+S+L)'!Q68-Moore!O68)</f>
      </c>
      <c r="P68" s="347">
        <f>IF(OR('H(R+S+L)'!R68="N.P.",'H(R+S+L)'!R68="",Moore!P68=""),"",'H(R+S+L)'!R68-Moore!P68)</f>
      </c>
      <c r="Q68" s="341">
        <f>IF(OR('H(R+S+L)'!S68="N.P.",'H(R+S+L)'!S68="",Moore!Q68=""),"",'H(R+S+L)'!S68-Moore!Q68)</f>
      </c>
      <c r="R68" s="341">
        <f>IF(OR('H(R+S+L)'!T68="N.P.",'H(R+S+L)'!T68="",Moore!R68=""),"",'H(R+S+L)'!T68-Moore!R68)</f>
      </c>
      <c r="S68" s="341">
        <f>IF(OR('H(R+S+L)'!U68="N.P.",'H(R+S+L)'!U68="",Moore!S68=""),"",'H(R+S+L)'!U68-Moore!S68)</f>
      </c>
      <c r="T68" s="342">
        <f>IF(OR('H(R+S+L)'!V68="N.P.",'H(R+S+L)'!V68="",Moore!T68=""),"",'H(R+S+L)'!V68-Moore!T68)</f>
      </c>
      <c r="U68" s="347">
        <f>IF(OR('H(R+S+L)'!W68="N.P.",'H(R+S+L)'!W68="",Moore!U68=""),"",'H(R+S+L)'!W68-Moore!U68)</f>
      </c>
      <c r="V68" s="341">
        <f>IF(OR('H(R+S+L)'!X68="N.P.",'H(R+S+L)'!X68="",Moore!V68=""),"",'H(R+S+L)'!X68-Moore!V68)</f>
      </c>
      <c r="W68" s="341">
        <f>IF(OR('H(R+S+L)'!Y68="N.P.",'H(R+S+L)'!Y68="",Moore!W68=""),"",'H(R+S+L)'!Y68-Moore!W68)</f>
      </c>
      <c r="X68" s="341">
        <f>IF(OR('H(R+S+L)'!Z68="N.P.",'H(R+S+L)'!Z68="",Moore!X68=""),"",'H(R+S+L)'!Z68-Moore!X68)</f>
      </c>
      <c r="Y68" s="341">
        <f>IF(OR('H(R+S+L)'!AA68="N.P.",'H(R+S+L)'!AA68="",Moore!Y68=""),"",'H(R+S+L)'!AA68-Moore!Y68)</f>
      </c>
      <c r="Z68" s="341">
        <f>IF(OR('H(R+S+L)'!AB68="N.P.",'H(R+S+L)'!AB68="",Moore!Z68=""),"",'H(R+S+L)'!AB68-Moore!Z68)</f>
      </c>
      <c r="AA68" s="342">
        <f>IF(OR('H(R+S+L)'!AC68="N.P.",'H(R+S+L)'!AC68="",Moore!AA68=""),"",'H(R+S+L)'!AC68-Moore!AA68)</f>
      </c>
      <c r="AB68" s="347">
        <f>IF(OR('H(R+S+L)'!AD68="N.P.",'H(R+S+L)'!AD68="",Moore!AB68=""),"",'H(R+S+L)'!AD68-Moore!AB68)</f>
      </c>
      <c r="AC68" s="341">
        <f>IF(OR('H(R+S+L)'!AE68="N.P.",'H(R+S+L)'!AE68="",Moore!AC68=""),"",'H(R+S+L)'!AE68-Moore!AC68)</f>
      </c>
      <c r="AD68" s="341">
        <f>IF(OR('H(R+S+L)'!AF68="N.P.",'H(R+S+L)'!AF68="",Moore!AD68=""),"",'H(R+S+L)'!AF68-Moore!AD68)</f>
      </c>
      <c r="AE68" s="341">
        <f>IF(OR('H(R+S+L)'!AG68="N.P.",'H(R+S+L)'!AG68="",Moore!AE68=""),"",'H(R+S+L)'!AG68-Moore!AE68)</f>
      </c>
      <c r="AF68" s="341">
        <f>IF(OR('H(R+S+L)'!AH68="N.P.",'H(R+S+L)'!AH68="",Moore!AF68=""),"",'H(R+S+L)'!AH68-Moore!AF68)</f>
      </c>
      <c r="AG68" s="341">
        <f>IF(OR('H(R+S+L)'!AI68="N.P.",'H(R+S+L)'!AI68="",Moore!AG68=""),"",'H(R+S+L)'!AI68-Moore!AG68)</f>
      </c>
      <c r="AH68" s="341">
        <f>IF(OR('H(R+S+L)'!AJ68="N.P.",'H(R+S+L)'!AJ68="",Moore!AH68=""),"",'H(R+S+L)'!AJ68-Moore!AH68)</f>
      </c>
      <c r="AI68" s="341">
        <f>IF(OR('H(R+S+L)'!AK68="N.P.",'H(R+S+L)'!AK68="",Moore!AI68=""),"",'H(R+S+L)'!AK68-Moore!AI68)</f>
      </c>
      <c r="AJ68" s="342">
        <f>IF(OR('H(R+S+L)'!AL68="N.P.",'H(R+S+L)'!AL68="",Moore!AJ68=""),"",'H(R+S+L)'!AL68-Moore!AJ68)</f>
      </c>
      <c r="AK68" s="347">
        <f>IF(OR('H(R+S+L)'!AM68="N.P.",'H(R+S+L)'!AM68="",Moore!AK68=""),"",'H(R+S+L)'!AM68-Moore!AK68)</f>
      </c>
      <c r="AL68" s="341">
        <f>IF(OR('H(R+S+L)'!AN68="N.P.",'H(R+S+L)'!AN68="",Moore!AL68=""),"",'H(R+S+L)'!AN68-Moore!AL68)</f>
      </c>
      <c r="AM68" s="341">
        <f>IF(OR('H(R+S+L)'!AO68="N.P.",'H(R+S+L)'!AO68="",Moore!AM68=""),"",'H(R+S+L)'!AO68-Moore!AM68)</f>
      </c>
      <c r="AN68" s="341">
        <f>IF(OR('H(R+S+L)'!AP68="N.P.",'H(R+S+L)'!AP68="",Moore!AN68=""),"",'H(R+S+L)'!AP68-Moore!AN68)</f>
      </c>
      <c r="AO68" s="341">
        <f>IF(OR('H(R+S+L)'!AQ68="N.P.",'H(R+S+L)'!AQ68="",Moore!AO68=""),"",'H(R+S+L)'!AQ68-Moore!AO68)</f>
      </c>
      <c r="AP68" s="341">
        <f>IF(OR('H(R+S+L)'!AR68="N.P.",'H(R+S+L)'!AR68="",Moore!AP68=""),"",'H(R+S+L)'!AR68-Moore!AP68)</f>
      </c>
      <c r="AQ68" s="341">
        <f>IF(OR('H(R+S+L)'!AS68="N.P.",'H(R+S+L)'!AS68="",Moore!AQ68=""),"",'H(R+S+L)'!AS68-Moore!AQ68)</f>
      </c>
      <c r="AR68" s="341">
        <f>IF(OR('H(R+S+L)'!AT68="N.P.",'H(R+S+L)'!AT68="",Moore!AR68=""),"",'H(R+S+L)'!AT68-Moore!AR68)</f>
      </c>
      <c r="AS68" s="341">
        <f>IF(OR('H(R+S+L)'!AU68="N.P.",'H(R+S+L)'!AU68="",Moore!AS68=""),"",'H(R+S+L)'!AU68-Moore!AS68)</f>
      </c>
      <c r="AT68" s="341">
        <f>IF(OR('H(R+S+L)'!AV68="N.P.",'H(R+S+L)'!AV68="",Moore!AT68=""),"",'H(R+S+L)'!AV68-Moore!AT68)</f>
      </c>
      <c r="AU68" s="342">
        <f>IF(OR('H(R+S+L)'!AW68="N.P.",'H(R+S+L)'!AW68="",Moore!AU68=""),"",'H(R+S+L)'!AW68-Moore!AU68)</f>
      </c>
      <c r="AV68" s="347">
        <f>IF(OR('H(R+S+L)'!AX68="N.P.",'H(R+S+L)'!AX68="",Moore!AV68=""),"",'H(R+S+L)'!AX68-Moore!AV68)</f>
      </c>
      <c r="AW68" s="341">
        <f>IF(OR('H(R+S+L)'!AY68="N.P.",'H(R+S+L)'!AY68="",Moore!AW68=""),"",'H(R+S+L)'!AY68-Moore!AW68)</f>
      </c>
      <c r="AX68" s="341">
        <f>IF(OR('H(R+S+L)'!AZ68="N.P.",'H(R+S+L)'!AZ68="",Moore!AX68=""),"",'H(R+S+L)'!AZ68-Moore!AX68)</f>
      </c>
      <c r="AY68" s="341">
        <f>IF(OR('H(R+S+L)'!BA68="N.P.",'H(R+S+L)'!BA68="",Moore!AY68=""),"",'H(R+S+L)'!BA68-Moore!AY68)</f>
      </c>
      <c r="AZ68" s="341">
        <f>IF(OR('H(R+S+L)'!BB68="N.P.",'H(R+S+L)'!BB68="",Moore!AZ68=""),"",'H(R+S+L)'!BB68-Moore!AZ68)</f>
      </c>
      <c r="BA68" s="341">
        <f>IF(OR('H(R+S+L)'!BC68="N.P.",'H(R+S+L)'!BC68="",Moore!BA68=""),"",'H(R+S+L)'!BC68-Moore!BA68)</f>
      </c>
      <c r="BB68" s="341">
        <f>IF(OR('H(R+S+L)'!BD68="N.P.",'H(R+S+L)'!BD68="",Moore!BB68=""),"",'H(R+S+L)'!BD68-Moore!BB68)</f>
      </c>
      <c r="BC68" s="341">
        <f>IF(OR('H(R+S+L)'!BE68="N.P.",'H(R+S+L)'!BE68="",Moore!BC68=""),"",'H(R+S+L)'!BE68-Moore!BC68)</f>
      </c>
      <c r="BD68" s="341">
        <f>IF(OR('H(R+S+L)'!BF68="N.P.",'H(R+S+L)'!BF68="",Moore!BD68=""),"",'H(R+S+L)'!BF68-Moore!BD68)</f>
      </c>
      <c r="BE68" s="341">
        <f>IF(OR('H(R+S+L)'!BG68="N.P.",'H(R+S+L)'!BG68="",Moore!BE68=""),"",'H(R+S+L)'!BG68-Moore!BE68)</f>
      </c>
      <c r="BF68" s="341">
        <f>IF(OR('H(R+S+L)'!BH68="N.P.",'H(R+S+L)'!BH68="",Moore!BF68=""),"",'H(R+S+L)'!BH68-Moore!BF68)</f>
      </c>
      <c r="BG68" s="341">
        <f>IF(OR('H(R+S+L)'!BI68="N.P.",'H(R+S+L)'!BI68="",Moore!BG68=""),"",'H(R+S+L)'!BI68-Moore!BG68)</f>
      </c>
      <c r="BH68" s="342">
        <f>IF(OR('H(R+S+L)'!BJ68="N.P.",'H(R+S+L)'!BJ68="",Moore!BH68=""),"",'H(R+S+L)'!BJ68-Moore!BH68)</f>
      </c>
    </row>
    <row r="69" spans="7:60" ht="12.75">
      <c r="G69" s="788"/>
      <c r="H69" s="337">
        <f>'H(R+S+L)'!J69*1-Moore!H69</f>
        <v>-0.00045990121725481004</v>
      </c>
      <c r="I69" s="297">
        <v>8</v>
      </c>
      <c r="J69" s="298">
        <v>3.5</v>
      </c>
      <c r="K69" s="296" t="s">
        <v>12</v>
      </c>
      <c r="L69" s="695">
        <f>IF(OR('H(R+S+L)'!N69="N.P.",'H(R+S+L)'!N69="",Moore!L69=""),"",'H(R+S+L)'!N69-Moore!L69)</f>
      </c>
      <c r="M69" s="347">
        <f>IF(OR('H(R+S+L)'!O69="N.P.",'H(R+S+L)'!O69="",Moore!M69=""),"",'H(R+S+L)'!O69-Moore!M69)</f>
      </c>
      <c r="N69" s="341">
        <f>IF(OR('H(R+S+L)'!P69="N.P.",'H(R+S+L)'!P69="",Moore!N69=""),"",'H(R+S+L)'!P69-Moore!N69)</f>
      </c>
      <c r="O69" s="342">
        <f>IF(OR('H(R+S+L)'!Q69="N.P.",'H(R+S+L)'!Q69="",Moore!O69=""),"",'H(R+S+L)'!Q69-Moore!O69)</f>
      </c>
      <c r="P69" s="347">
        <f>IF(OR('H(R+S+L)'!R69="N.P.",'H(R+S+L)'!R69="",Moore!P69=""),"",'H(R+S+L)'!R69-Moore!P69)</f>
      </c>
      <c r="Q69" s="341">
        <f>IF(OR('H(R+S+L)'!S69="N.P.",'H(R+S+L)'!S69="",Moore!Q69=""),"",'H(R+S+L)'!S69-Moore!Q69)</f>
      </c>
      <c r="R69" s="341">
        <f>IF(OR('H(R+S+L)'!T69="N.P.",'H(R+S+L)'!T69="",Moore!R69=""),"",'H(R+S+L)'!T69-Moore!R69)</f>
      </c>
      <c r="S69" s="341">
        <f>IF(OR('H(R+S+L)'!U69="N.P.",'H(R+S+L)'!U69="",Moore!S69=""),"",'H(R+S+L)'!U69-Moore!S69)</f>
        <v>0.048475157916982425</v>
      </c>
      <c r="T69" s="342">
        <f>IF(OR('H(R+S+L)'!V69="N.P.",'H(R+S+L)'!V69="",Moore!T69=""),"",'H(R+S+L)'!V69-Moore!T69)</f>
      </c>
      <c r="U69" s="347">
        <f>IF(OR('H(R+S+L)'!W69="N.P.",'H(R+S+L)'!W69="",Moore!U69=""),"",'H(R+S+L)'!W69-Moore!U69)</f>
      </c>
      <c r="V69" s="341">
        <f>IF(OR('H(R+S+L)'!X69="N.P.",'H(R+S+L)'!X69="",Moore!V69=""),"",'H(R+S+L)'!X69-Moore!V69)</f>
      </c>
      <c r="W69" s="341">
        <f>IF(OR('H(R+S+L)'!Y69="N.P.",'H(R+S+L)'!Y69="",Moore!W69=""),"",'H(R+S+L)'!Y69-Moore!W69)</f>
      </c>
      <c r="X69" s="341">
        <f>IF(OR('H(R+S+L)'!Z69="N.P.",'H(R+S+L)'!Z69="",Moore!X69=""),"",'H(R+S+L)'!Z69-Moore!X69)</f>
      </c>
      <c r="Y69" s="341">
        <f>IF(OR('H(R+S+L)'!AA69="N.P.",'H(R+S+L)'!AA69="",Moore!Y69=""),"",'H(R+S+L)'!AA69-Moore!Y69)</f>
      </c>
      <c r="Z69" s="341">
        <f>IF(OR('H(R+S+L)'!AB69="N.P.",'H(R+S+L)'!AB69="",Moore!Z69=""),"",'H(R+S+L)'!AB69-Moore!Z69)</f>
      </c>
      <c r="AA69" s="342">
        <f>IF(OR('H(R+S+L)'!AC69="N.P.",'H(R+S+L)'!AC69="",Moore!AA69=""),"",'H(R+S+L)'!AC69-Moore!AA69)</f>
      </c>
      <c r="AB69" s="347">
        <f>IF(OR('H(R+S+L)'!AD69="N.P.",'H(R+S+L)'!AD69="",Moore!AB69=""),"",'H(R+S+L)'!AD69-Moore!AB69)</f>
      </c>
      <c r="AC69" s="341">
        <f>IF(OR('H(R+S+L)'!AE69="N.P.",'H(R+S+L)'!AE69="",Moore!AC69=""),"",'H(R+S+L)'!AE69-Moore!AC69)</f>
      </c>
      <c r="AD69" s="341">
        <f>IF(OR('H(R+S+L)'!AF69="N.P.",'H(R+S+L)'!AF69="",Moore!AD69=""),"",'H(R+S+L)'!AF69-Moore!AD69)</f>
      </c>
      <c r="AE69" s="341">
        <f>IF(OR('H(R+S+L)'!AG69="N.P.",'H(R+S+L)'!AG69="",Moore!AE69=""),"",'H(R+S+L)'!AG69-Moore!AE69)</f>
      </c>
      <c r="AF69" s="341">
        <f>IF(OR('H(R+S+L)'!AH69="N.P.",'H(R+S+L)'!AH69="",Moore!AF69=""),"",'H(R+S+L)'!AH69-Moore!AF69)</f>
      </c>
      <c r="AG69" s="341">
        <f>IF(OR('H(R+S+L)'!AI69="N.P.",'H(R+S+L)'!AI69="",Moore!AG69=""),"",'H(R+S+L)'!AI69-Moore!AG69)</f>
      </c>
      <c r="AH69" s="341">
        <f>IF(OR('H(R+S+L)'!AJ69="N.P.",'H(R+S+L)'!AJ69="",Moore!AH69=""),"",'H(R+S+L)'!AJ69-Moore!AH69)</f>
      </c>
      <c r="AI69" s="341">
        <f>IF(OR('H(R+S+L)'!AK69="N.P.",'H(R+S+L)'!AK69="",Moore!AI69=""),"",'H(R+S+L)'!AK69-Moore!AI69)</f>
      </c>
      <c r="AJ69" s="342">
        <f>IF(OR('H(R+S+L)'!AL69="N.P.",'H(R+S+L)'!AL69="",Moore!AJ69=""),"",'H(R+S+L)'!AL69-Moore!AJ69)</f>
      </c>
      <c r="AK69" s="347">
        <f>IF(OR('H(R+S+L)'!AM69="N.P.",'H(R+S+L)'!AM69="",Moore!AK69=""),"",'H(R+S+L)'!AM69-Moore!AK69)</f>
      </c>
      <c r="AL69" s="341">
        <f>IF(OR('H(R+S+L)'!AN69="N.P.",'H(R+S+L)'!AN69="",Moore!AL69=""),"",'H(R+S+L)'!AN69-Moore!AL69)</f>
      </c>
      <c r="AM69" s="341">
        <f>IF(OR('H(R+S+L)'!AO69="N.P.",'H(R+S+L)'!AO69="",Moore!AM69=""),"",'H(R+S+L)'!AO69-Moore!AM69)</f>
      </c>
      <c r="AN69" s="341">
        <f>IF(OR('H(R+S+L)'!AP69="N.P.",'H(R+S+L)'!AP69="",Moore!AN69=""),"",'H(R+S+L)'!AP69-Moore!AN69)</f>
      </c>
      <c r="AO69" s="341">
        <f>IF(OR('H(R+S+L)'!AQ69="N.P.",'H(R+S+L)'!AQ69="",Moore!AO69=""),"",'H(R+S+L)'!AQ69-Moore!AO69)</f>
      </c>
      <c r="AP69" s="341">
        <f>IF(OR('H(R+S+L)'!AR69="N.P.",'H(R+S+L)'!AR69="",Moore!AP69=""),"",'H(R+S+L)'!AR69-Moore!AP69)</f>
      </c>
      <c r="AQ69" s="341">
        <f>IF(OR('H(R+S+L)'!AS69="N.P.",'H(R+S+L)'!AS69="",Moore!AQ69=""),"",'H(R+S+L)'!AS69-Moore!AQ69)</f>
      </c>
      <c r="AR69" s="341">
        <f>IF(OR('H(R+S+L)'!AT69="N.P.",'H(R+S+L)'!AT69="",Moore!AR69=""),"",'H(R+S+L)'!AT69-Moore!AR69)</f>
      </c>
      <c r="AS69" s="341">
        <f>IF(OR('H(R+S+L)'!AU69="N.P.",'H(R+S+L)'!AU69="",Moore!AS69=""),"",'H(R+S+L)'!AU69-Moore!AS69)</f>
      </c>
      <c r="AT69" s="341">
        <f>IF(OR('H(R+S+L)'!AV69="N.P.",'H(R+S+L)'!AV69="",Moore!AT69=""),"",'H(R+S+L)'!AV69-Moore!AT69)</f>
      </c>
      <c r="AU69" s="342">
        <f>IF(OR('H(R+S+L)'!AW69="N.P.",'H(R+S+L)'!AW69="",Moore!AU69=""),"",'H(R+S+L)'!AW69-Moore!AU69)</f>
      </c>
      <c r="AV69" s="347">
        <f>IF(OR('H(R+S+L)'!AX69="N.P.",'H(R+S+L)'!AX69="",Moore!AV69=""),"",'H(R+S+L)'!AX69-Moore!AV69)</f>
      </c>
      <c r="AW69" s="341">
        <f>IF(OR('H(R+S+L)'!AY69="N.P.",'H(R+S+L)'!AY69="",Moore!AW69=""),"",'H(R+S+L)'!AY69-Moore!AW69)</f>
      </c>
      <c r="AX69" s="341">
        <f>IF(OR('H(R+S+L)'!AZ69="N.P.",'H(R+S+L)'!AZ69="",Moore!AX69=""),"",'H(R+S+L)'!AZ69-Moore!AX69)</f>
      </c>
      <c r="AY69" s="341">
        <f>IF(OR('H(R+S+L)'!BA69="N.P.",'H(R+S+L)'!BA69="",Moore!AY69=""),"",'H(R+S+L)'!BA69-Moore!AY69)</f>
      </c>
      <c r="AZ69" s="341">
        <f>IF(OR('H(R+S+L)'!BB69="N.P.",'H(R+S+L)'!BB69="",Moore!AZ69=""),"",'H(R+S+L)'!BB69-Moore!AZ69)</f>
      </c>
      <c r="BA69" s="341">
        <f>IF(OR('H(R+S+L)'!BC69="N.P.",'H(R+S+L)'!BC69="",Moore!BA69=""),"",'H(R+S+L)'!BC69-Moore!BA69)</f>
      </c>
      <c r="BB69" s="341">
        <f>IF(OR('H(R+S+L)'!BD69="N.P.",'H(R+S+L)'!BD69="",Moore!BB69=""),"",'H(R+S+L)'!BD69-Moore!BB69)</f>
      </c>
      <c r="BC69" s="341">
        <f>IF(OR('H(R+S+L)'!BE69="N.P.",'H(R+S+L)'!BE69="",Moore!BC69=""),"",'H(R+S+L)'!BE69-Moore!BC69)</f>
      </c>
      <c r="BD69" s="341">
        <f>IF(OR('H(R+S+L)'!BF69="N.P.",'H(R+S+L)'!BF69="",Moore!BD69=""),"",'H(R+S+L)'!BF69-Moore!BD69)</f>
      </c>
      <c r="BE69" s="341">
        <f>IF(OR('H(R+S+L)'!BG69="N.P.",'H(R+S+L)'!BG69="",Moore!BE69=""),"",'H(R+S+L)'!BG69-Moore!BE69)</f>
      </c>
      <c r="BF69" s="341">
        <f>IF(OR('H(R+S+L)'!BH69="N.P.",'H(R+S+L)'!BH69="",Moore!BF69=""),"",'H(R+S+L)'!BH69-Moore!BF69)</f>
      </c>
      <c r="BG69" s="341">
        <f>IF(OR('H(R+S+L)'!BI69="N.P.",'H(R+S+L)'!BI69="",Moore!BG69=""),"",'H(R+S+L)'!BI69-Moore!BG69)</f>
      </c>
      <c r="BH69" s="342">
        <f>IF(OR('H(R+S+L)'!BJ69="N.P.",'H(R+S+L)'!BJ69="",Moore!BH69=""),"",'H(R+S+L)'!BJ69-Moore!BH69)</f>
      </c>
    </row>
    <row r="70" spans="7:60" ht="12.75">
      <c r="G70" s="788"/>
      <c r="H70" s="337">
        <f>'H(R+S+L)'!J70*1-Moore!H70</f>
        <v>0.0006184441008372232</v>
      </c>
      <c r="I70" s="297">
        <v>8</v>
      </c>
      <c r="J70" s="298">
        <v>3.5</v>
      </c>
      <c r="K70" s="296" t="s">
        <v>13</v>
      </c>
      <c r="L70" s="695">
        <f>IF(OR('H(R+S+L)'!N70="N.P.",'H(R+S+L)'!N70="",Moore!L70=""),"",'H(R+S+L)'!N70-Moore!L70)</f>
      </c>
      <c r="M70" s="347">
        <f>IF(OR('H(R+S+L)'!O70="N.P.",'H(R+S+L)'!O70="",Moore!M70=""),"",'H(R+S+L)'!O70-Moore!M70)</f>
      </c>
      <c r="N70" s="341">
        <f>IF(OR('H(R+S+L)'!P70="N.P.",'H(R+S+L)'!P70="",Moore!N70=""),"",'H(R+S+L)'!P70-Moore!N70)</f>
      </c>
      <c r="O70" s="342">
        <f>IF(OR('H(R+S+L)'!Q70="N.P.",'H(R+S+L)'!Q70="",Moore!O70=""),"",'H(R+S+L)'!Q70-Moore!O70)</f>
      </c>
      <c r="P70" s="347">
        <f>IF(OR('H(R+S+L)'!R70="N.P.",'H(R+S+L)'!R70="",Moore!P70=""),"",'H(R+S+L)'!R70-Moore!P70)</f>
      </c>
      <c r="Q70" s="341">
        <f>IF(OR('H(R+S+L)'!S70="N.P.",'H(R+S+L)'!S70="",Moore!Q70=""),"",'H(R+S+L)'!S70-Moore!Q70)</f>
      </c>
      <c r="R70" s="341">
        <f>IF(OR('H(R+S+L)'!T70="N.P.",'H(R+S+L)'!T70="",Moore!R70=""),"",'H(R+S+L)'!T70-Moore!R70)</f>
      </c>
      <c r="S70" s="341">
        <f>IF(OR('H(R+S+L)'!U70="N.P.",'H(R+S+L)'!U70="",Moore!S70=""),"",'H(R+S+L)'!U70-Moore!S70)</f>
      </c>
      <c r="T70" s="342">
        <f>IF(OR('H(R+S+L)'!V70="N.P.",'H(R+S+L)'!V70="",Moore!T70=""),"",'H(R+S+L)'!V70-Moore!T70)</f>
      </c>
      <c r="U70" s="347">
        <f>IF(OR('H(R+S+L)'!W70="N.P.",'H(R+S+L)'!W70="",Moore!U70=""),"",'H(R+S+L)'!W70-Moore!U70)</f>
      </c>
      <c r="V70" s="341">
        <f>IF(OR('H(R+S+L)'!X70="N.P.",'H(R+S+L)'!X70="",Moore!V70=""),"",'H(R+S+L)'!X70-Moore!V70)</f>
      </c>
      <c r="W70" s="341">
        <f>IF(OR('H(R+S+L)'!Y70="N.P.",'H(R+S+L)'!Y70="",Moore!W70=""),"",'H(R+S+L)'!Y70-Moore!W70)</f>
      </c>
      <c r="X70" s="341">
        <f>IF(OR('H(R+S+L)'!Z70="N.P.",'H(R+S+L)'!Z70="",Moore!X70=""),"",'H(R+S+L)'!Z70-Moore!X70)</f>
      </c>
      <c r="Y70" s="341">
        <f>IF(OR('H(R+S+L)'!AA70="N.P.",'H(R+S+L)'!AA70="",Moore!Y70=""),"",'H(R+S+L)'!AA70-Moore!Y70)</f>
      </c>
      <c r="Z70" s="341">
        <f>IF(OR('H(R+S+L)'!AB70="N.P.",'H(R+S+L)'!AB70="",Moore!Z70=""),"",'H(R+S+L)'!AB70-Moore!Z70)</f>
      </c>
      <c r="AA70" s="342">
        <f>IF(OR('H(R+S+L)'!AC70="N.P.",'H(R+S+L)'!AC70="",Moore!AA70=""),"",'H(R+S+L)'!AC70-Moore!AA70)</f>
      </c>
      <c r="AB70" s="347">
        <f>IF(OR('H(R+S+L)'!AD70="N.P.",'H(R+S+L)'!AD70="",Moore!AB70=""),"",'H(R+S+L)'!AD70-Moore!AB70)</f>
      </c>
      <c r="AC70" s="341">
        <f>IF(OR('H(R+S+L)'!AE70="N.P.",'H(R+S+L)'!AE70="",Moore!AC70=""),"",'H(R+S+L)'!AE70-Moore!AC70)</f>
      </c>
      <c r="AD70" s="341">
        <f>IF(OR('H(R+S+L)'!AF70="N.P.",'H(R+S+L)'!AF70="",Moore!AD70=""),"",'H(R+S+L)'!AF70-Moore!AD70)</f>
      </c>
      <c r="AE70" s="341">
        <f>IF(OR('H(R+S+L)'!AG70="N.P.",'H(R+S+L)'!AG70="",Moore!AE70=""),"",'H(R+S+L)'!AG70-Moore!AE70)</f>
      </c>
      <c r="AF70" s="341">
        <f>IF(OR('H(R+S+L)'!AH70="N.P.",'H(R+S+L)'!AH70="",Moore!AF70=""),"",'H(R+S+L)'!AH70-Moore!AF70)</f>
      </c>
      <c r="AG70" s="341">
        <f>IF(OR('H(R+S+L)'!AI70="N.P.",'H(R+S+L)'!AI70="",Moore!AG70=""),"",'H(R+S+L)'!AI70-Moore!AG70)</f>
      </c>
      <c r="AH70" s="341">
        <f>IF(OR('H(R+S+L)'!AJ70="N.P.",'H(R+S+L)'!AJ70="",Moore!AH70=""),"",'H(R+S+L)'!AJ70-Moore!AH70)</f>
      </c>
      <c r="AI70" s="341">
        <f>IF(OR('H(R+S+L)'!AK70="N.P.",'H(R+S+L)'!AK70="",Moore!AI70=""),"",'H(R+S+L)'!AK70-Moore!AI70)</f>
      </c>
      <c r="AJ70" s="342">
        <f>IF(OR('H(R+S+L)'!AL70="N.P.",'H(R+S+L)'!AL70="",Moore!AJ70=""),"",'H(R+S+L)'!AL70-Moore!AJ70)</f>
      </c>
      <c r="AK70" s="347">
        <f>IF(OR('H(R+S+L)'!AM70="N.P.",'H(R+S+L)'!AM70="",Moore!AK70=""),"",'H(R+S+L)'!AM70-Moore!AK70)</f>
      </c>
      <c r="AL70" s="341">
        <f>IF(OR('H(R+S+L)'!AN70="N.P.",'H(R+S+L)'!AN70="",Moore!AL70=""),"",'H(R+S+L)'!AN70-Moore!AL70)</f>
      </c>
      <c r="AM70" s="341">
        <f>IF(OR('H(R+S+L)'!AO70="N.P.",'H(R+S+L)'!AO70="",Moore!AM70=""),"",'H(R+S+L)'!AO70-Moore!AM70)</f>
      </c>
      <c r="AN70" s="341">
        <f>IF(OR('H(R+S+L)'!AP70="N.P.",'H(R+S+L)'!AP70="",Moore!AN70=""),"",'H(R+S+L)'!AP70-Moore!AN70)</f>
      </c>
      <c r="AO70" s="341">
        <f>IF(OR('H(R+S+L)'!AQ70="N.P.",'H(R+S+L)'!AQ70="",Moore!AO70=""),"",'H(R+S+L)'!AQ70-Moore!AO70)</f>
      </c>
      <c r="AP70" s="341">
        <f>IF(OR('H(R+S+L)'!AR70="N.P.",'H(R+S+L)'!AR70="",Moore!AP70=""),"",'H(R+S+L)'!AR70-Moore!AP70)</f>
      </c>
      <c r="AQ70" s="341">
        <f>IF(OR('H(R+S+L)'!AS70="N.P.",'H(R+S+L)'!AS70="",Moore!AQ70=""),"",'H(R+S+L)'!AS70-Moore!AQ70)</f>
      </c>
      <c r="AR70" s="341">
        <f>IF(OR('H(R+S+L)'!AT70="N.P.",'H(R+S+L)'!AT70="",Moore!AR70=""),"",'H(R+S+L)'!AT70-Moore!AR70)</f>
      </c>
      <c r="AS70" s="341">
        <f>IF(OR('H(R+S+L)'!AU70="N.P.",'H(R+S+L)'!AU70="",Moore!AS70=""),"",'H(R+S+L)'!AU70-Moore!AS70)</f>
      </c>
      <c r="AT70" s="341">
        <f>IF(OR('H(R+S+L)'!AV70="N.P.",'H(R+S+L)'!AV70="",Moore!AT70=""),"",'H(R+S+L)'!AV70-Moore!AT70)</f>
      </c>
      <c r="AU70" s="342">
        <f>IF(OR('H(R+S+L)'!AW70="N.P.",'H(R+S+L)'!AW70="",Moore!AU70=""),"",'H(R+S+L)'!AW70-Moore!AU70)</f>
      </c>
      <c r="AV70" s="347">
        <f>IF(OR('H(R+S+L)'!AX70="N.P.",'H(R+S+L)'!AX70="",Moore!AV70=""),"",'H(R+S+L)'!AX70-Moore!AV70)</f>
      </c>
      <c r="AW70" s="341">
        <f>IF(OR('H(R+S+L)'!AY70="N.P.",'H(R+S+L)'!AY70="",Moore!AW70=""),"",'H(R+S+L)'!AY70-Moore!AW70)</f>
      </c>
      <c r="AX70" s="341">
        <f>IF(OR('H(R+S+L)'!AZ70="N.P.",'H(R+S+L)'!AZ70="",Moore!AX70=""),"",'H(R+S+L)'!AZ70-Moore!AX70)</f>
      </c>
      <c r="AY70" s="341">
        <f>IF(OR('H(R+S+L)'!BA70="N.P.",'H(R+S+L)'!BA70="",Moore!AY70=""),"",'H(R+S+L)'!BA70-Moore!AY70)</f>
      </c>
      <c r="AZ70" s="341">
        <f>IF(OR('H(R+S+L)'!BB70="N.P.",'H(R+S+L)'!BB70="",Moore!AZ70=""),"",'H(R+S+L)'!BB70-Moore!AZ70)</f>
      </c>
      <c r="BA70" s="341">
        <f>IF(OR('H(R+S+L)'!BC70="N.P.",'H(R+S+L)'!BC70="",Moore!BA70=""),"",'H(R+S+L)'!BC70-Moore!BA70)</f>
      </c>
      <c r="BB70" s="341">
        <f>IF(OR('H(R+S+L)'!BD70="N.P.",'H(R+S+L)'!BD70="",Moore!BB70=""),"",'H(R+S+L)'!BD70-Moore!BB70)</f>
      </c>
      <c r="BC70" s="341">
        <f>IF(OR('H(R+S+L)'!BE70="N.P.",'H(R+S+L)'!BE70="",Moore!BC70=""),"",'H(R+S+L)'!BE70-Moore!BC70)</f>
      </c>
      <c r="BD70" s="341">
        <f>IF(OR('H(R+S+L)'!BF70="N.P.",'H(R+S+L)'!BF70="",Moore!BD70=""),"",'H(R+S+L)'!BF70-Moore!BD70)</f>
      </c>
      <c r="BE70" s="341">
        <f>IF(OR('H(R+S+L)'!BG70="N.P.",'H(R+S+L)'!BG70="",Moore!BE70=""),"",'H(R+S+L)'!BG70-Moore!BE70)</f>
      </c>
      <c r="BF70" s="341">
        <f>IF(OR('H(R+S+L)'!BH70="N.P.",'H(R+S+L)'!BH70="",Moore!BF70=""),"",'H(R+S+L)'!BH70-Moore!BF70)</f>
      </c>
      <c r="BG70" s="341">
        <f>IF(OR('H(R+S+L)'!BI70="N.P.",'H(R+S+L)'!BI70="",Moore!BG70=""),"",'H(R+S+L)'!BI70-Moore!BG70)</f>
      </c>
      <c r="BH70" s="342">
        <f>IF(OR('H(R+S+L)'!BJ70="N.P.",'H(R+S+L)'!BJ70="",Moore!BH70=""),"",'H(R+S+L)'!BJ70-Moore!BH70)</f>
      </c>
    </row>
    <row r="71" spans="7:60" ht="12.75">
      <c r="G71" s="788"/>
      <c r="H71" s="337">
        <f>'H(R+S+L)'!J71*1-Moore!H71</f>
        <v>-0.0009458385029574856</v>
      </c>
      <c r="I71" s="297">
        <v>8</v>
      </c>
      <c r="J71" s="298">
        <v>4.5</v>
      </c>
      <c r="K71" s="296" t="s">
        <v>14</v>
      </c>
      <c r="L71" s="695">
        <f>IF(OR('H(R+S+L)'!N71="N.P.",'H(R+S+L)'!N71="",Moore!L71=""),"",'H(R+S+L)'!N71-Moore!L71)</f>
      </c>
      <c r="M71" s="347">
        <f>IF(OR('H(R+S+L)'!O71="N.P.",'H(R+S+L)'!O71="",Moore!M71=""),"",'H(R+S+L)'!O71-Moore!M71)</f>
      </c>
      <c r="N71" s="341">
        <f>IF(OR('H(R+S+L)'!P71="N.P.",'H(R+S+L)'!P71="",Moore!N71=""),"",'H(R+S+L)'!P71-Moore!N71)</f>
      </c>
      <c r="O71" s="342">
        <f>IF(OR('H(R+S+L)'!Q71="N.P.",'H(R+S+L)'!Q71="",Moore!O71=""),"",'H(R+S+L)'!Q71-Moore!O71)</f>
      </c>
      <c r="P71" s="347">
        <f>IF(OR('H(R+S+L)'!R71="N.P.",'H(R+S+L)'!R71="",Moore!P71=""),"",'H(R+S+L)'!R71-Moore!P71)</f>
      </c>
      <c r="Q71" s="341">
        <f>IF(OR('H(R+S+L)'!S71="N.P.",'H(R+S+L)'!S71="",Moore!Q71=""),"",'H(R+S+L)'!S71-Moore!Q71)</f>
      </c>
      <c r="R71" s="341">
        <f>IF(OR('H(R+S+L)'!T71="N.P.",'H(R+S+L)'!T71="",Moore!R71=""),"",'H(R+S+L)'!T71-Moore!R71)</f>
      </c>
      <c r="S71" s="341">
        <f>IF(OR('H(R+S+L)'!U71="N.P.",'H(R+S+L)'!U71="",Moore!S71=""),"",'H(R+S+L)'!U71-Moore!S71)</f>
      </c>
      <c r="T71" s="342">
        <f>IF(OR('H(R+S+L)'!V71="N.P.",'H(R+S+L)'!V71="",Moore!T71=""),"",'H(R+S+L)'!V71-Moore!T71)</f>
      </c>
      <c r="U71" s="347">
        <f>IF(OR('H(R+S+L)'!W71="N.P.",'H(R+S+L)'!W71="",Moore!U71=""),"",'H(R+S+L)'!W71-Moore!U71)</f>
      </c>
      <c r="V71" s="341">
        <f>IF(OR('H(R+S+L)'!X71="N.P.",'H(R+S+L)'!X71="",Moore!V71=""),"",'H(R+S+L)'!X71-Moore!V71)</f>
      </c>
      <c r="W71" s="341">
        <f>IF(OR('H(R+S+L)'!Y71="N.P.",'H(R+S+L)'!Y71="",Moore!W71=""),"",'H(R+S+L)'!Y71-Moore!W71)</f>
      </c>
      <c r="X71" s="341">
        <f>IF(OR('H(R+S+L)'!Z71="N.P.",'H(R+S+L)'!Z71="",Moore!X71=""),"",'H(R+S+L)'!Z71-Moore!X71)</f>
      </c>
      <c r="Y71" s="341">
        <f>IF(OR('H(R+S+L)'!AA71="N.P.",'H(R+S+L)'!AA71="",Moore!Y71=""),"",'H(R+S+L)'!AA71-Moore!Y71)</f>
      </c>
      <c r="Z71" s="341">
        <f>IF(OR('H(R+S+L)'!AB71="N.P.",'H(R+S+L)'!AB71="",Moore!Z71=""),"",'H(R+S+L)'!AB71-Moore!Z71)</f>
        <v>0.07826849456614582</v>
      </c>
      <c r="AA71" s="342">
        <f>IF(OR('H(R+S+L)'!AC71="N.P.",'H(R+S+L)'!AC71="",Moore!AA71=""),"",'H(R+S+L)'!AC71-Moore!AA71)</f>
      </c>
      <c r="AB71" s="347">
        <f>IF(OR('H(R+S+L)'!AD71="N.P.",'H(R+S+L)'!AD71="",Moore!AB71=""),"",'H(R+S+L)'!AD71-Moore!AB71)</f>
      </c>
      <c r="AC71" s="341">
        <f>IF(OR('H(R+S+L)'!AE71="N.P.",'H(R+S+L)'!AE71="",Moore!AC71=""),"",'H(R+S+L)'!AE71-Moore!AC71)</f>
      </c>
      <c r="AD71" s="341">
        <f>IF(OR('H(R+S+L)'!AF71="N.P.",'H(R+S+L)'!AF71="",Moore!AD71=""),"",'H(R+S+L)'!AF71-Moore!AD71)</f>
      </c>
      <c r="AE71" s="341">
        <f>IF(OR('H(R+S+L)'!AG71="N.P.",'H(R+S+L)'!AG71="",Moore!AE71=""),"",'H(R+S+L)'!AG71-Moore!AE71)</f>
      </c>
      <c r="AF71" s="341">
        <f>IF(OR('H(R+S+L)'!AH71="N.P.",'H(R+S+L)'!AH71="",Moore!AF71=""),"",'H(R+S+L)'!AH71-Moore!AF71)</f>
      </c>
      <c r="AG71" s="341">
        <f>IF(OR('H(R+S+L)'!AI71="N.P.",'H(R+S+L)'!AI71="",Moore!AG71=""),"",'H(R+S+L)'!AI71-Moore!AG71)</f>
      </c>
      <c r="AH71" s="341">
        <f>IF(OR('H(R+S+L)'!AJ71="N.P.",'H(R+S+L)'!AJ71="",Moore!AH71=""),"",'H(R+S+L)'!AJ71-Moore!AH71)</f>
      </c>
      <c r="AI71" s="341">
        <f>IF(OR('H(R+S+L)'!AK71="N.P.",'H(R+S+L)'!AK71="",Moore!AI73=""),"",'H(R+S+L)'!AK71-Moore!AI73)</f>
      </c>
      <c r="AJ71" s="342">
        <f>IF(OR('H(R+S+L)'!AL71="N.P.",'H(R+S+L)'!AL71="",Moore!AJ71=""),"",'H(R+S+L)'!AL71-Moore!AJ71)</f>
      </c>
      <c r="AK71" s="347">
        <f>IF(OR('H(R+S+L)'!AM71="N.P.",'H(R+S+L)'!AM71="",Moore!AK71=""),"",'H(R+S+L)'!AM71-Moore!AK71)</f>
      </c>
      <c r="AL71" s="341">
        <f>IF(OR('H(R+S+L)'!AN71="N.P.",'H(R+S+L)'!AN71="",Moore!AL71=""),"",'H(R+S+L)'!AN71-Moore!AL71)</f>
      </c>
      <c r="AM71" s="341">
        <f>IF(OR('H(R+S+L)'!AO71="N.P.",'H(R+S+L)'!AO71="",Moore!AM71=""),"",'H(R+S+L)'!AO71-Moore!AM71)</f>
      </c>
      <c r="AN71" s="341">
        <f>IF(OR('H(R+S+L)'!AP71="N.P.",'H(R+S+L)'!AP71="",Moore!AN71=""),"",'H(R+S+L)'!AP71-Moore!AN71)</f>
      </c>
      <c r="AO71" s="341">
        <f>IF(OR('H(R+S+L)'!AQ71="N.P.",'H(R+S+L)'!AQ71="",Moore!AO71=""),"",'H(R+S+L)'!AQ71-Moore!AO71)</f>
      </c>
      <c r="AP71" s="341">
        <f>IF(OR('H(R+S+L)'!AR71="N.P.",'H(R+S+L)'!AR71="",Moore!AP71=""),"",'H(R+S+L)'!AR71-Moore!AP71)</f>
      </c>
      <c r="AQ71" s="341">
        <f>IF(OR('H(R+S+L)'!AS71="N.P.",'H(R+S+L)'!AS71="",Moore!AQ71=""),"",'H(R+S+L)'!AS71-Moore!AQ71)</f>
      </c>
      <c r="AR71" s="341">
        <f>IF(OR('H(R+S+L)'!AT71="N.P.",'H(R+S+L)'!AT71="",Moore!AR71=""),"",'H(R+S+L)'!AT71-Moore!AR71)</f>
      </c>
      <c r="AS71" s="341">
        <f>IF(OR('H(R+S+L)'!AU71="N.P.",'H(R+S+L)'!AU71="",Moore!AS71=""),"",'H(R+S+L)'!AU71-Moore!AS71)</f>
      </c>
      <c r="AT71" s="341">
        <f>IF(OR('H(R+S+L)'!AV71="N.P.",'H(R+S+L)'!AV71="",Moore!AT71=""),"",'H(R+S+L)'!AV71-Moore!AT71)</f>
      </c>
      <c r="AU71" s="342">
        <f>IF(OR('H(R+S+L)'!AW71="N.P.",'H(R+S+L)'!AW71="",Moore!AU71=""),"",'H(R+S+L)'!AW71-Moore!AU71)</f>
      </c>
      <c r="AV71" s="347">
        <f>IF(OR('H(R+S+L)'!AX71="N.P.",'H(R+S+L)'!AX71="",Moore!AV71=""),"",'H(R+S+L)'!AX71-Moore!AV71)</f>
      </c>
      <c r="AW71" s="341">
        <f>IF(OR('H(R+S+L)'!AY71="N.P.",'H(R+S+L)'!AY71="",Moore!AW71=""),"",'H(R+S+L)'!AY71-Moore!AW71)</f>
      </c>
      <c r="AX71" s="341">
        <f>IF(OR('H(R+S+L)'!AZ71="N.P.",'H(R+S+L)'!AZ71="",Moore!AX71=""),"",'H(R+S+L)'!AZ71-Moore!AX71)</f>
      </c>
      <c r="AY71" s="341">
        <f>IF(OR('H(R+S+L)'!BA71="N.P.",'H(R+S+L)'!BA71="",Moore!AY71=""),"",'H(R+S+L)'!BA71-Moore!AY71)</f>
      </c>
      <c r="AZ71" s="341">
        <f>IF(OR('H(R+S+L)'!BB71="N.P.",'H(R+S+L)'!BB71="",Moore!AZ71=""),"",'H(R+S+L)'!BB71-Moore!AZ71)</f>
      </c>
      <c r="BA71" s="341">
        <f>IF(OR('H(R+S+L)'!BC71="N.P.",'H(R+S+L)'!BC71="",Moore!BA71=""),"",'H(R+S+L)'!BC71-Moore!BA71)</f>
      </c>
      <c r="BB71" s="341">
        <f>IF(OR('H(R+S+L)'!BD71="N.P.",'H(R+S+L)'!BD71="",Moore!BB71=""),"",'H(R+S+L)'!BD71-Moore!BB71)</f>
      </c>
      <c r="BC71" s="341">
        <f>IF(OR('H(R+S+L)'!BE71="N.P.",'H(R+S+L)'!BE71="",Moore!BC71=""),"",'H(R+S+L)'!BE71-Moore!BC71)</f>
      </c>
      <c r="BD71" s="341">
        <f>IF(OR('H(R+S+L)'!BF71="N.P.",'H(R+S+L)'!BF71="",Moore!BD71=""),"",'H(R+S+L)'!BF71-Moore!BD71)</f>
      </c>
      <c r="BE71" s="341">
        <f>IF(OR('H(R+S+L)'!BG71="N.P.",'H(R+S+L)'!BG71="",Moore!BE71=""),"",'H(R+S+L)'!BG71-Moore!BE71)</f>
      </c>
      <c r="BF71" s="341">
        <f>IF(OR('H(R+S+L)'!BH71="N.P.",'H(R+S+L)'!BH71="",Moore!BF71=""),"",'H(R+S+L)'!BH71-Moore!BF71)</f>
      </c>
      <c r="BG71" s="341">
        <f>IF(OR('H(R+S+L)'!BI71="N.P.",'H(R+S+L)'!BI71="",Moore!BG71=""),"",'H(R+S+L)'!BI71-Moore!BG71)</f>
      </c>
      <c r="BH71" s="342">
        <f>IF(OR('H(R+S+L)'!BJ71="N.P.",'H(R+S+L)'!BJ71="",Moore!BH71=""),"",'H(R+S+L)'!BJ71-Moore!BH71)</f>
      </c>
    </row>
    <row r="72" spans="7:60" ht="12.75">
      <c r="G72" s="788"/>
      <c r="H72" s="337">
        <f>'H(R+S+L)'!J72*1-Moore!H72</f>
        <v>-0.0005843834660481662</v>
      </c>
      <c r="I72" s="297">
        <v>8</v>
      </c>
      <c r="J72" s="298">
        <v>4.5</v>
      </c>
      <c r="K72" s="296" t="s">
        <v>15</v>
      </c>
      <c r="L72" s="695">
        <f>IF(OR('H(R+S+L)'!N72="N.P.",'H(R+S+L)'!N72="",Moore!L72=""),"",'H(R+S+L)'!N72-Moore!L72)</f>
      </c>
      <c r="M72" s="347">
        <f>IF(OR('H(R+S+L)'!O72="N.P.",'H(R+S+L)'!O72="",Moore!M72=""),"",'H(R+S+L)'!O72-Moore!M72)</f>
      </c>
      <c r="N72" s="341">
        <f>IF(OR('H(R+S+L)'!P72="N.P.",'H(R+S+L)'!P72="",Moore!N72=""),"",'H(R+S+L)'!P72-Moore!N72)</f>
      </c>
      <c r="O72" s="342">
        <f>IF(OR('H(R+S+L)'!Q72="N.P.",'H(R+S+L)'!Q72="",Moore!O72=""),"",'H(R+S+L)'!Q72-Moore!O72)</f>
      </c>
      <c r="P72" s="347">
        <f>IF(OR('H(R+S+L)'!R72="N.P.",'H(R+S+L)'!R72="",Moore!P72=""),"",'H(R+S+L)'!R72-Moore!P72)</f>
      </c>
      <c r="Q72" s="341">
        <f>IF(OR('H(R+S+L)'!S72="N.P.",'H(R+S+L)'!S72="",Moore!Q72=""),"",'H(R+S+L)'!S72-Moore!Q72)</f>
      </c>
      <c r="R72" s="341">
        <f>IF(OR('H(R+S+L)'!T72="N.P.",'H(R+S+L)'!T72="",Moore!R72=""),"",'H(R+S+L)'!T72-Moore!R72)</f>
      </c>
      <c r="S72" s="341">
        <f>IF(OR('H(R+S+L)'!U72="N.P.",'H(R+S+L)'!U72="",Moore!S72=""),"",'H(R+S+L)'!U72-Moore!S72)</f>
      </c>
      <c r="T72" s="342">
        <f>IF(OR('H(R+S+L)'!V72="N.P.",'H(R+S+L)'!V72="",Moore!T72=""),"",'H(R+S+L)'!V72-Moore!T72)</f>
      </c>
      <c r="U72" s="347">
        <f>IF(OR('H(R+S+L)'!W72="N.P.",'H(R+S+L)'!W72="",Moore!U72=""),"",'H(R+S+L)'!W72-Moore!U72)</f>
      </c>
      <c r="V72" s="341">
        <f>IF(OR('H(R+S+L)'!X72="N.P.",'H(R+S+L)'!X72="",Moore!V72=""),"",'H(R+S+L)'!X72-Moore!V72)</f>
      </c>
      <c r="W72" s="341">
        <f>IF(OR('H(R+S+L)'!Y72="N.P.",'H(R+S+L)'!Y72="",Moore!W72=""),"",'H(R+S+L)'!Y72-Moore!W72)</f>
      </c>
      <c r="X72" s="341">
        <f>IF(OR('H(R+S+L)'!Z72="N.P.",'H(R+S+L)'!Z72="",Moore!X72=""),"",'H(R+S+L)'!Z72-Moore!X72)</f>
      </c>
      <c r="Y72" s="341">
        <f>IF(OR('H(R+S+L)'!AA72="N.P.",'H(R+S+L)'!AA72="",Moore!Y72=""),"",'H(R+S+L)'!AA72-Moore!Y72)</f>
      </c>
      <c r="Z72" s="341">
        <f>IF(OR('H(R+S+L)'!AB72="N.P.",'H(R+S+L)'!AB72="",Moore!Z72=""),"",'H(R+S+L)'!AB72-Moore!Z72)</f>
      </c>
      <c r="AA72" s="342">
        <f>IF(OR('H(R+S+L)'!AC72="N.P.",'H(R+S+L)'!AC72="",Moore!AA72=""),"",'H(R+S+L)'!AC72-Moore!AA72)</f>
      </c>
      <c r="AB72" s="347">
        <f>IF(OR('H(R+S+L)'!AD72="N.P.",'H(R+S+L)'!AD72="",Moore!AB72=""),"",'H(R+S+L)'!AD72-Moore!AB72)</f>
      </c>
      <c r="AC72" s="341">
        <f>IF(OR('H(R+S+L)'!AE72="N.P.",'H(R+S+L)'!AE72="",Moore!AC72=""),"",'H(R+S+L)'!AE72-Moore!AC72)</f>
      </c>
      <c r="AD72" s="341">
        <f>IF(OR('H(R+S+L)'!AF72="N.P.",'H(R+S+L)'!AF72="",Moore!AD72=""),"",'H(R+S+L)'!AF72-Moore!AD72)</f>
      </c>
      <c r="AE72" s="341">
        <f>IF(OR('H(R+S+L)'!AG72="N.P.",'H(R+S+L)'!AG72="",Moore!AE72=""),"",'H(R+S+L)'!AG72-Moore!AE72)</f>
      </c>
      <c r="AF72" s="341">
        <f>IF(OR('H(R+S+L)'!AH72="N.P.",'H(R+S+L)'!AH72="",Moore!AF72=""),"",'H(R+S+L)'!AH72-Moore!AF72)</f>
      </c>
      <c r="AG72" s="341">
        <f>IF(OR('H(R+S+L)'!AI72="N.P.",'H(R+S+L)'!AI72="",Moore!AG72=""),"",'H(R+S+L)'!AI72-Moore!AG72)</f>
      </c>
      <c r="AH72" s="341">
        <f>IF(OR('H(R+S+L)'!AJ72="N.P.",'H(R+S+L)'!AJ72="",Moore!AH72=""),"",'H(R+S+L)'!AJ72-Moore!AH72)</f>
      </c>
      <c r="AI72" s="341">
        <f>IF(OR('H(R+S+L)'!AK72="N.P.",'H(R+S+L)'!AK72="",Moore!AI72=""),"",'H(R+S+L)'!AK72-Moore!AI72)</f>
      </c>
      <c r="AJ72" s="342">
        <f>IF(OR('H(R+S+L)'!AL72="N.P.",'H(R+S+L)'!AL72="",Moore!AJ72=""),"",'H(R+S+L)'!AL72-Moore!AJ72)</f>
      </c>
      <c r="AK72" s="347">
        <f>IF(OR('H(R+S+L)'!AM72="N.P.",'H(R+S+L)'!AM72="",Moore!AK72=""),"",'H(R+S+L)'!AM72-Moore!AK72)</f>
      </c>
      <c r="AL72" s="341">
        <f>IF(OR('H(R+S+L)'!AN72="N.P.",'H(R+S+L)'!AN72="",Moore!AL72=""),"",'H(R+S+L)'!AN72-Moore!AL72)</f>
      </c>
      <c r="AM72" s="341">
        <f>IF(OR('H(R+S+L)'!AO72="N.P.",'H(R+S+L)'!AO72="",Moore!AM72=""),"",'H(R+S+L)'!AO72-Moore!AM72)</f>
      </c>
      <c r="AN72" s="341">
        <f>IF(OR('H(R+S+L)'!AP72="N.P.",'H(R+S+L)'!AP72="",Moore!AN72=""),"",'H(R+S+L)'!AP72-Moore!AN72)</f>
      </c>
      <c r="AO72" s="341">
        <f>IF(OR('H(R+S+L)'!AQ72="N.P.",'H(R+S+L)'!AQ72="",Moore!AO72=""),"",'H(R+S+L)'!AQ72-Moore!AO72)</f>
      </c>
      <c r="AP72" s="341">
        <f>IF(OR('H(R+S+L)'!AR72="N.P.",'H(R+S+L)'!AR72="",Moore!AP72=""),"",'H(R+S+L)'!AR72-Moore!AP72)</f>
      </c>
      <c r="AQ72" s="341">
        <f>IF(OR('H(R+S+L)'!AS72="N.P.",'H(R+S+L)'!AS72="",Moore!AQ72=""),"",'H(R+S+L)'!AS72-Moore!AQ72)</f>
      </c>
      <c r="AR72" s="341">
        <f>IF(OR('H(R+S+L)'!AT72="N.P.",'H(R+S+L)'!AT72="",Moore!AR72=""),"",'H(R+S+L)'!AT72-Moore!AR72)</f>
      </c>
      <c r="AS72" s="341">
        <f>IF(OR('H(R+S+L)'!AU72="N.P.",'H(R+S+L)'!AU72="",Moore!AS72=""),"",'H(R+S+L)'!AU72-Moore!AS72)</f>
      </c>
      <c r="AT72" s="341">
        <f>IF(OR('H(R+S+L)'!AV72="N.P.",'H(R+S+L)'!AV72="",Moore!AT72=""),"",'H(R+S+L)'!AV72-Moore!AT72)</f>
      </c>
      <c r="AU72" s="342">
        <f>IF(OR('H(R+S+L)'!AW72="N.P.",'H(R+S+L)'!AW72="",Moore!AU72=""),"",'H(R+S+L)'!AW72-Moore!AU72)</f>
      </c>
      <c r="AV72" s="347">
        <f>IF(OR('H(R+S+L)'!AX72="N.P.",'H(R+S+L)'!AX72="",Moore!AV72=""),"",'H(R+S+L)'!AX72-Moore!AV72)</f>
      </c>
      <c r="AW72" s="341">
        <f>IF(OR('H(R+S+L)'!AY72="N.P.",'H(R+S+L)'!AY72="",Moore!AW72=""),"",'H(R+S+L)'!AY72-Moore!AW72)</f>
      </c>
      <c r="AX72" s="341">
        <f>IF(OR('H(R+S+L)'!AZ72="N.P.",'H(R+S+L)'!AZ72="",Moore!AX72=""),"",'H(R+S+L)'!AZ72-Moore!AX72)</f>
      </c>
      <c r="AY72" s="341">
        <f>IF(OR('H(R+S+L)'!BA72="N.P.",'H(R+S+L)'!BA72="",Moore!AY72=""),"",'H(R+S+L)'!BA72-Moore!AY72)</f>
      </c>
      <c r="AZ72" s="341">
        <f>IF(OR('H(R+S+L)'!BB72="N.P.",'H(R+S+L)'!BB72="",Moore!AZ72=""),"",'H(R+S+L)'!BB72-Moore!AZ72)</f>
      </c>
      <c r="BA72" s="341">
        <f>IF(OR('H(R+S+L)'!BC72="N.P.",'H(R+S+L)'!BC72="",Moore!BA72=""),"",'H(R+S+L)'!BC72-Moore!BA72)</f>
      </c>
      <c r="BB72" s="341">
        <f>IF(OR('H(R+S+L)'!BD72="N.P.",'H(R+S+L)'!BD72="",Moore!BB72=""),"",'H(R+S+L)'!BD72-Moore!BB72)</f>
      </c>
      <c r="BC72" s="341">
        <f>IF(OR('H(R+S+L)'!BE72="N.P.",'H(R+S+L)'!BE72="",Moore!BC72=""),"",'H(R+S+L)'!BE72-Moore!BC72)</f>
      </c>
      <c r="BD72" s="341">
        <f>IF(OR('H(R+S+L)'!BF72="N.P.",'H(R+S+L)'!BF72="",Moore!BD72=""),"",'H(R+S+L)'!BF72-Moore!BD72)</f>
      </c>
      <c r="BE72" s="341">
        <f>IF(OR('H(R+S+L)'!BG72="N.P.",'H(R+S+L)'!BG72="",Moore!BE72=""),"",'H(R+S+L)'!BG72-Moore!BE72)</f>
      </c>
      <c r="BF72" s="341">
        <f>IF(OR('H(R+S+L)'!BH72="N.P.",'H(R+S+L)'!BH72="",Moore!BF72=""),"",'H(R+S+L)'!BH72-Moore!BF72)</f>
      </c>
      <c r="BG72" s="341">
        <f>IF(OR('H(R+S+L)'!BI72="N.P.",'H(R+S+L)'!BI72="",Moore!BG72=""),"",'H(R+S+L)'!BI72-Moore!BG72)</f>
      </c>
      <c r="BH72" s="342">
        <f>IF(OR('H(R+S+L)'!BJ72="N.P.",'H(R+S+L)'!BJ72="",Moore!BH72=""),"",'H(R+S+L)'!BJ72-Moore!BH72)</f>
      </c>
    </row>
    <row r="73" spans="7:60" ht="12.75">
      <c r="G73" s="788"/>
      <c r="H73" s="337">
        <f>'H(R+S+L)'!J73*1-Moore!H73</f>
        <v>-0.00032938180083874613</v>
      </c>
      <c r="I73" s="297">
        <v>8</v>
      </c>
      <c r="J73" s="298">
        <v>5.5</v>
      </c>
      <c r="K73" s="296" t="s">
        <v>16</v>
      </c>
      <c r="L73" s="695">
        <f>IF(OR('H(R+S+L)'!N73="N.P.",'H(R+S+L)'!N73="",Moore!L73=""),"",'H(R+S+L)'!N73-Moore!L73)</f>
      </c>
      <c r="M73" s="347">
        <f>IF(OR('H(R+S+L)'!O73="N.P.",'H(R+S+L)'!O73="",Moore!M73=""),"",'H(R+S+L)'!O73-Moore!M73)</f>
      </c>
      <c r="N73" s="341">
        <f>IF(OR('H(R+S+L)'!P73="N.P.",'H(R+S+L)'!P73="",Moore!N73=""),"",'H(R+S+L)'!P73-Moore!N73)</f>
      </c>
      <c r="O73" s="342">
        <f>IF(OR('H(R+S+L)'!Q73="N.P.",'H(R+S+L)'!Q73="",Moore!O73=""),"",'H(R+S+L)'!Q73-Moore!O73)</f>
      </c>
      <c r="P73" s="347">
        <f>IF(OR('H(R+S+L)'!R73="N.P.",'H(R+S+L)'!R73="",Moore!P73=""),"",'H(R+S+L)'!R73-Moore!P73)</f>
      </c>
      <c r="Q73" s="341">
        <f>IF(OR('H(R+S+L)'!S73="N.P.",'H(R+S+L)'!S73="",Moore!Q73=""),"",'H(R+S+L)'!S73-Moore!Q73)</f>
      </c>
      <c r="R73" s="341">
        <f>IF(OR('H(R+S+L)'!T73="N.P.",'H(R+S+L)'!T73="",Moore!R73=""),"",'H(R+S+L)'!T73-Moore!R73)</f>
      </c>
      <c r="S73" s="341">
        <f>IF(OR('H(R+S+L)'!U73="N.P.",'H(R+S+L)'!U73="",Moore!S73=""),"",'H(R+S+L)'!U73-Moore!S73)</f>
      </c>
      <c r="T73" s="342">
        <f>IF(OR('H(R+S+L)'!V73="N.P.",'H(R+S+L)'!V73="",Moore!T73=""),"",'H(R+S+L)'!V73-Moore!T73)</f>
      </c>
      <c r="U73" s="347">
        <f>IF(OR('H(R+S+L)'!W73="N.P.",'H(R+S+L)'!W73="",Moore!U73=""),"",'H(R+S+L)'!W73-Moore!U73)</f>
      </c>
      <c r="V73" s="341">
        <f>IF(OR('H(R+S+L)'!X73="N.P.",'H(R+S+L)'!X73="",Moore!V73=""),"",'H(R+S+L)'!X73-Moore!V73)</f>
      </c>
      <c r="W73" s="341">
        <f>IF(OR('H(R+S+L)'!Y73="N.P.",'H(R+S+L)'!Y73="",Moore!W73=""),"",'H(R+S+L)'!Y73-Moore!W73)</f>
      </c>
      <c r="X73" s="341">
        <f>IF(OR('H(R+S+L)'!Z73="N.P.",'H(R+S+L)'!Z73="",Moore!X73=""),"",'H(R+S+L)'!Z73-Moore!X73)</f>
      </c>
      <c r="Y73" s="341">
        <f>IF(OR('H(R+S+L)'!AA73="N.P.",'H(R+S+L)'!AA73="",Moore!Y73=""),"",'H(R+S+L)'!AA73-Moore!Y73)</f>
      </c>
      <c r="Z73" s="341">
        <f>IF(OR('H(R+S+L)'!AB73="N.P.",'H(R+S+L)'!AB73="",Moore!Z73=""),"",'H(R+S+L)'!AB73-Moore!Z73)</f>
      </c>
      <c r="AA73" s="342">
        <f>IF(OR('H(R+S+L)'!AC73="N.P.",'H(R+S+L)'!AC73="",Moore!AA73=""),"",'H(R+S+L)'!AC73-Moore!AA73)</f>
      </c>
      <c r="AB73" s="347">
        <f>IF(OR('H(R+S+L)'!AD73="N.P.",'H(R+S+L)'!AD73="",Moore!AB73=""),"",'H(R+S+L)'!AD73-Moore!AB73)</f>
      </c>
      <c r="AC73" s="341">
        <f>IF(OR('H(R+S+L)'!AE73="N.P.",'H(R+S+L)'!AE73="",Moore!AC73=""),"",'H(R+S+L)'!AE73-Moore!AC73)</f>
      </c>
      <c r="AD73" s="341">
        <f>IF(OR('H(R+S+L)'!AF73="N.P.",'H(R+S+L)'!AF73="",Moore!AD73=""),"",'H(R+S+L)'!AF73-Moore!AD73)</f>
      </c>
      <c r="AE73" s="341">
        <f>IF(OR('H(R+S+L)'!AG73="N.P.",'H(R+S+L)'!AG73="",Moore!AE73=""),"",'H(R+S+L)'!AG73-Moore!AE73)</f>
      </c>
      <c r="AF73" s="341">
        <f>IF(OR('H(R+S+L)'!AH73="N.P.",'H(R+S+L)'!AH73="",Moore!AF73=""),"",'H(R+S+L)'!AH73-Moore!AF73)</f>
      </c>
      <c r="AG73" s="341">
        <f>IF(OR('H(R+S+L)'!AI73="N.P.",'H(R+S+L)'!AI73="",Moore!AG73=""),"",'H(R+S+L)'!AI73-Moore!AG73)</f>
      </c>
      <c r="AH73" s="341">
        <f>IF(OR('H(R+S+L)'!AJ73="N.P.",'H(R+S+L)'!AJ73="",Moore!AH73=""),"",'H(R+S+L)'!AJ73-Moore!AH73)</f>
      </c>
      <c r="AI73" s="341">
        <f>IF(OR('H(R+S+L)'!AK73="N.P.",'H(R+S+L)'!AK73="",Moore!AI73=""),"",'H(R+S+L)'!AK73-Moore!AI73)</f>
        <v>0.1241893458281993</v>
      </c>
      <c r="AJ73" s="342">
        <f>IF(OR('H(R+S+L)'!AL73="N.P.",'H(R+S+L)'!AL73="",Moore!AJ73=""),"",'H(R+S+L)'!AL73-Moore!AJ73)</f>
      </c>
      <c r="AK73" s="347">
        <f>IF(OR('H(R+S+L)'!AM73="N.P.",'H(R+S+L)'!AM73="",Moore!AK73=""),"",'H(R+S+L)'!AM73-Moore!AK73)</f>
      </c>
      <c r="AL73" s="341">
        <f>IF(OR('H(R+S+L)'!AN73="N.P.",'H(R+S+L)'!AN73="",Moore!AL73=""),"",'H(R+S+L)'!AN73-Moore!AL73)</f>
      </c>
      <c r="AM73" s="341">
        <f>IF(OR('H(R+S+L)'!AO73="N.P.",'H(R+S+L)'!AO73="",Moore!AM73=""),"",'H(R+S+L)'!AO73-Moore!AM73)</f>
      </c>
      <c r="AN73" s="341">
        <f>IF(OR('H(R+S+L)'!AP73="N.P.",'H(R+S+L)'!AP73="",Moore!AN73=""),"",'H(R+S+L)'!AP73-Moore!AN73)</f>
      </c>
      <c r="AO73" s="341">
        <f>IF(OR('H(R+S+L)'!AQ73="N.P.",'H(R+S+L)'!AQ73="",Moore!AO73=""),"",'H(R+S+L)'!AQ73-Moore!AO73)</f>
      </c>
      <c r="AP73" s="341">
        <f>IF(OR('H(R+S+L)'!AR73="N.P.",'H(R+S+L)'!AR73="",Moore!AP73=""),"",'H(R+S+L)'!AR73-Moore!AP73)</f>
      </c>
      <c r="AQ73" s="341">
        <f>IF(OR('H(R+S+L)'!AS73="N.P.",'H(R+S+L)'!AS73="",Moore!AQ73=""),"",'H(R+S+L)'!AS73-Moore!AQ73)</f>
      </c>
      <c r="AR73" s="341">
        <f>IF(OR('H(R+S+L)'!AT73="N.P.",'H(R+S+L)'!AT73="",Moore!AR73=""),"",'H(R+S+L)'!AT73-Moore!AR73)</f>
      </c>
      <c r="AS73" s="341">
        <f>IF(OR('H(R+S+L)'!AU73="N.P.",'H(R+S+L)'!AU73="",Moore!AS73=""),"",'H(R+S+L)'!AU73-Moore!AS73)</f>
      </c>
      <c r="AT73" s="341">
        <f>IF(OR('H(R+S+L)'!AV73="N.P.",'H(R+S+L)'!AV73="",Moore!AT73=""),"",'H(R+S+L)'!AV73-Moore!AT73)</f>
      </c>
      <c r="AU73" s="342">
        <f>IF(OR('H(R+S+L)'!AW73="N.P.",'H(R+S+L)'!AW73="",Moore!AU73=""),"",'H(R+S+L)'!AW73-Moore!AU73)</f>
      </c>
      <c r="AV73" s="347">
        <f>IF(OR('H(R+S+L)'!AX73="N.P.",'H(R+S+L)'!AX73="",Moore!AV73=""),"",'H(R+S+L)'!AX73-Moore!AV73)</f>
      </c>
      <c r="AW73" s="341">
        <f>IF(OR('H(R+S+L)'!AY73="N.P.",'H(R+S+L)'!AY73="",Moore!AW73=""),"",'H(R+S+L)'!AY73-Moore!AW73)</f>
      </c>
      <c r="AX73" s="341">
        <f>IF(OR('H(R+S+L)'!AZ73="N.P.",'H(R+S+L)'!AZ73="",Moore!AX73=""),"",'H(R+S+L)'!AZ73-Moore!AX73)</f>
      </c>
      <c r="AY73" s="341">
        <f>IF(OR('H(R+S+L)'!BA73="N.P.",'H(R+S+L)'!BA73="",Moore!AY73=""),"",'H(R+S+L)'!BA73-Moore!AY73)</f>
      </c>
      <c r="AZ73" s="341">
        <f>IF(OR('H(R+S+L)'!BB73="N.P.",'H(R+S+L)'!BB73="",Moore!AZ73=""),"",'H(R+S+L)'!BB73-Moore!AZ73)</f>
      </c>
      <c r="BA73" s="341">
        <f>IF(OR('H(R+S+L)'!BC73="N.P.",'H(R+S+L)'!BC73="",Moore!BA73=""),"",'H(R+S+L)'!BC73-Moore!BA73)</f>
      </c>
      <c r="BB73" s="341">
        <f>IF(OR('H(R+S+L)'!BD73="N.P.",'H(R+S+L)'!BD73="",Moore!BB73=""),"",'H(R+S+L)'!BD73-Moore!BB73)</f>
      </c>
      <c r="BC73" s="341">
        <f>IF(OR('H(R+S+L)'!BE73="N.P.",'H(R+S+L)'!BE73="",Moore!BC73=""),"",'H(R+S+L)'!BE73-Moore!BC73)</f>
      </c>
      <c r="BD73" s="341">
        <f>IF(OR('H(R+S+L)'!BF73="N.P.",'H(R+S+L)'!BF73="",Moore!BD73=""),"",'H(R+S+L)'!BF73-Moore!BD73)</f>
      </c>
      <c r="BE73" s="341">
        <f>IF(OR('H(R+S+L)'!BG73="N.P.",'H(R+S+L)'!BG73="",Moore!BE73=""),"",'H(R+S+L)'!BG73-Moore!BE73)</f>
      </c>
      <c r="BF73" s="341">
        <f>IF(OR('H(R+S+L)'!BH73="N.P.",'H(R+S+L)'!BH73="",Moore!BF73=""),"",'H(R+S+L)'!BH73-Moore!BF73)</f>
      </c>
      <c r="BG73" s="341">
        <f>IF(OR('H(R+S+L)'!BI73="N.P.",'H(R+S+L)'!BI73="",Moore!BG73=""),"",'H(R+S+L)'!BI73-Moore!BG73)</f>
      </c>
      <c r="BH73" s="342">
        <f>IF(OR('H(R+S+L)'!BJ73="N.P.",'H(R+S+L)'!BJ73="",Moore!BH73=""),"",'H(R+S+L)'!BJ73-Moore!BH73)</f>
      </c>
    </row>
    <row r="74" spans="7:60" ht="12.75">
      <c r="G74" s="788"/>
      <c r="H74" s="337">
        <f>'H(R+S+L)'!J74*1-Moore!H74</f>
        <v>-0.00027628845418803394</v>
      </c>
      <c r="I74" s="297">
        <v>8</v>
      </c>
      <c r="J74" s="298">
        <v>5.5</v>
      </c>
      <c r="K74" s="296" t="s">
        <v>17</v>
      </c>
      <c r="L74" s="695">
        <f>IF(OR('H(R+S+L)'!N74="N.P.",'H(R+S+L)'!N74="",Moore!L74=""),"",'H(R+S+L)'!N74-Moore!L74)</f>
      </c>
      <c r="M74" s="347">
        <f>IF(OR('H(R+S+L)'!O74="N.P.",'H(R+S+L)'!O74="",Moore!M74=""),"",'H(R+S+L)'!O74-Moore!M74)</f>
      </c>
      <c r="N74" s="341">
        <f>IF(OR('H(R+S+L)'!P74="N.P.",'H(R+S+L)'!P74="",Moore!N74=""),"",'H(R+S+L)'!P74-Moore!N74)</f>
      </c>
      <c r="O74" s="342">
        <f>IF(OR('H(R+S+L)'!Q74="N.P.",'H(R+S+L)'!Q74="",Moore!O74=""),"",'H(R+S+L)'!Q74-Moore!O74)</f>
      </c>
      <c r="P74" s="347">
        <f>IF(OR('H(R+S+L)'!R74="N.P.",'H(R+S+L)'!R74="",Moore!P74=""),"",'H(R+S+L)'!R74-Moore!P74)</f>
      </c>
      <c r="Q74" s="341">
        <f>IF(OR('H(R+S+L)'!S74="N.P.",'H(R+S+L)'!S74="",Moore!Q74=""),"",'H(R+S+L)'!S74-Moore!Q74)</f>
      </c>
      <c r="R74" s="341">
        <f>IF(OR('H(R+S+L)'!T74="N.P.",'H(R+S+L)'!T74="",Moore!R74=""),"",'H(R+S+L)'!T74-Moore!R74)</f>
      </c>
      <c r="S74" s="341">
        <f>IF(OR('H(R+S+L)'!U74="N.P.",'H(R+S+L)'!U74="",Moore!S74=""),"",'H(R+S+L)'!U74-Moore!S74)</f>
      </c>
      <c r="T74" s="342">
        <f>IF(OR('H(R+S+L)'!V74="N.P.",'H(R+S+L)'!V74="",Moore!T74=""),"",'H(R+S+L)'!V74-Moore!T74)</f>
      </c>
      <c r="U74" s="347">
        <f>IF(OR('H(R+S+L)'!W74="N.P.",'H(R+S+L)'!W74="",Moore!U74=""),"",'H(R+S+L)'!W74-Moore!U74)</f>
      </c>
      <c r="V74" s="341">
        <f>IF(OR('H(R+S+L)'!X74="N.P.",'H(R+S+L)'!X74="",Moore!V74=""),"",'H(R+S+L)'!X74-Moore!V74)</f>
      </c>
      <c r="W74" s="341">
        <f>IF(OR('H(R+S+L)'!Y74="N.P.",'H(R+S+L)'!Y74="",Moore!W74=""),"",'H(R+S+L)'!Y74-Moore!W74)</f>
      </c>
      <c r="X74" s="341">
        <f>IF(OR('H(R+S+L)'!Z74="N.P.",'H(R+S+L)'!Z74="",Moore!X74=""),"",'H(R+S+L)'!Z74-Moore!X74)</f>
      </c>
      <c r="Y74" s="341">
        <f>IF(OR('H(R+S+L)'!AA74="N.P.",'H(R+S+L)'!AA74="",Moore!Y74=""),"",'H(R+S+L)'!AA74-Moore!Y74)</f>
      </c>
      <c r="Z74" s="341">
        <f>IF(OR('H(R+S+L)'!AB74="N.P.",'H(R+S+L)'!AB74="",Moore!Z74=""),"",'H(R+S+L)'!AB74-Moore!Z74)</f>
      </c>
      <c r="AA74" s="342">
        <f>IF(OR('H(R+S+L)'!AC74="N.P.",'H(R+S+L)'!AC74="",Moore!AA74=""),"",'H(R+S+L)'!AC74-Moore!AA74)</f>
      </c>
      <c r="AB74" s="347">
        <f>IF(OR('H(R+S+L)'!AD74="N.P.",'H(R+S+L)'!AD74="",Moore!AB74=""),"",'H(R+S+L)'!AD74-Moore!AB74)</f>
      </c>
      <c r="AC74" s="341">
        <f>IF(OR('H(R+S+L)'!AE74="N.P.",'H(R+S+L)'!AE74="",Moore!AC74=""),"",'H(R+S+L)'!AE74-Moore!AC74)</f>
      </c>
      <c r="AD74" s="341">
        <f>IF(OR('H(R+S+L)'!AF74="N.P.",'H(R+S+L)'!AF74="",Moore!AD74=""),"",'H(R+S+L)'!AF74-Moore!AD74)</f>
      </c>
      <c r="AE74" s="341">
        <f>IF(OR('H(R+S+L)'!AG74="N.P.",'H(R+S+L)'!AG74="",Moore!AE74=""),"",'H(R+S+L)'!AG74-Moore!AE74)</f>
      </c>
      <c r="AF74" s="341">
        <f>IF(OR('H(R+S+L)'!AH74="N.P.",'H(R+S+L)'!AH74="",Moore!AF74=""),"",'H(R+S+L)'!AH74-Moore!AF74)</f>
      </c>
      <c r="AG74" s="341">
        <f>IF(OR('H(R+S+L)'!AI74="N.P.",'H(R+S+L)'!AI74="",Moore!AG74=""),"",'H(R+S+L)'!AI74-Moore!AG74)</f>
      </c>
      <c r="AH74" s="341">
        <f>IF(OR('H(R+S+L)'!AJ74="N.P.",'H(R+S+L)'!AJ74="",Moore!AH74=""),"",'H(R+S+L)'!AJ74-Moore!AH74)</f>
      </c>
      <c r="AI74" s="341">
        <f>IF(OR('H(R+S+L)'!AK74="N.P.",'H(R+S+L)'!AK74="",Moore!AI74=""),"",'H(R+S+L)'!AK74-Moore!AI74)</f>
      </c>
      <c r="AJ74" s="342">
        <f>IF(OR('H(R+S+L)'!AL74="N.P.",'H(R+S+L)'!AL74="",Moore!AJ74=""),"",'H(R+S+L)'!AL74-Moore!AJ74)</f>
      </c>
      <c r="AK74" s="347">
        <f>IF(OR('H(R+S+L)'!AM74="N.P.",'H(R+S+L)'!AM74="",Moore!AK74=""),"",'H(R+S+L)'!AM74-Moore!AK74)</f>
      </c>
      <c r="AL74" s="341">
        <f>IF(OR('H(R+S+L)'!AN74="N.P.",'H(R+S+L)'!AN74="",Moore!AL74=""),"",'H(R+S+L)'!AN74-Moore!AL74)</f>
      </c>
      <c r="AM74" s="341">
        <f>IF(OR('H(R+S+L)'!AO74="N.P.",'H(R+S+L)'!AO74="",Moore!AM74=""),"",'H(R+S+L)'!AO74-Moore!AM74)</f>
      </c>
      <c r="AN74" s="341">
        <f>IF(OR('H(R+S+L)'!AP74="N.P.",'H(R+S+L)'!AP74="",Moore!AN74=""),"",'H(R+S+L)'!AP74-Moore!AN74)</f>
      </c>
      <c r="AO74" s="341">
        <f>IF(OR('H(R+S+L)'!AQ74="N.P.",'H(R+S+L)'!AQ74="",Moore!AO74=""),"",'H(R+S+L)'!AQ74-Moore!AO74)</f>
      </c>
      <c r="AP74" s="341">
        <f>IF(OR('H(R+S+L)'!AR74="N.P.",'H(R+S+L)'!AR74="",Moore!AP74=""),"",'H(R+S+L)'!AR74-Moore!AP74)</f>
      </c>
      <c r="AQ74" s="341">
        <f>IF(OR('H(R+S+L)'!AS74="N.P.",'H(R+S+L)'!AS74="",Moore!AQ74=""),"",'H(R+S+L)'!AS74-Moore!AQ74)</f>
      </c>
      <c r="AR74" s="341">
        <f>IF(OR('H(R+S+L)'!AT74="N.P.",'H(R+S+L)'!AT74="",Moore!AR74=""),"",'H(R+S+L)'!AT74-Moore!AR74)</f>
      </c>
      <c r="AS74" s="341">
        <f>IF(OR('H(R+S+L)'!AU74="N.P.",'H(R+S+L)'!AU74="",Moore!AS74=""),"",'H(R+S+L)'!AU74-Moore!AS74)</f>
      </c>
      <c r="AT74" s="341">
        <f>IF(OR('H(R+S+L)'!AV74="N.P.",'H(R+S+L)'!AV74="",Moore!AT74=""),"",'H(R+S+L)'!AV74-Moore!AT74)</f>
      </c>
      <c r="AU74" s="342">
        <f>IF(OR('H(R+S+L)'!AW74="N.P.",'H(R+S+L)'!AW74="",Moore!AU74=""),"",'H(R+S+L)'!AW74-Moore!AU74)</f>
      </c>
      <c r="AV74" s="347">
        <f>IF(OR('H(R+S+L)'!AX74="N.P.",'H(R+S+L)'!AX74="",Moore!AV74=""),"",'H(R+S+L)'!AX74-Moore!AV74)</f>
      </c>
      <c r="AW74" s="341">
        <f>IF(OR('H(R+S+L)'!AY74="N.P.",'H(R+S+L)'!AY74="",Moore!AW74=""),"",'H(R+S+L)'!AY74-Moore!AW74)</f>
      </c>
      <c r="AX74" s="341">
        <f>IF(OR('H(R+S+L)'!AZ74="N.P.",'H(R+S+L)'!AZ74="",Moore!AX74=""),"",'H(R+S+L)'!AZ74-Moore!AX74)</f>
      </c>
      <c r="AY74" s="341">
        <f>IF(OR('H(R+S+L)'!BA74="N.P.",'H(R+S+L)'!BA74="",Moore!AY74=""),"",'H(R+S+L)'!BA74-Moore!AY74)</f>
      </c>
      <c r="AZ74" s="341">
        <f>IF(OR('H(R+S+L)'!BB74="N.P.",'H(R+S+L)'!BB74="",Moore!AZ74=""),"",'H(R+S+L)'!BB74-Moore!AZ74)</f>
      </c>
      <c r="BA74" s="341">
        <f>IF(OR('H(R+S+L)'!BC74="N.P.",'H(R+S+L)'!BC74="",Moore!BA74=""),"",'H(R+S+L)'!BC74-Moore!BA74)</f>
      </c>
      <c r="BB74" s="341">
        <f>IF(OR('H(R+S+L)'!BD74="N.P.",'H(R+S+L)'!BD74="",Moore!BB74=""),"",'H(R+S+L)'!BD74-Moore!BB74)</f>
      </c>
      <c r="BC74" s="341">
        <f>IF(OR('H(R+S+L)'!BE74="N.P.",'H(R+S+L)'!BE74="",Moore!BC74=""),"",'H(R+S+L)'!BE74-Moore!BC74)</f>
      </c>
      <c r="BD74" s="341">
        <f>IF(OR('H(R+S+L)'!BF74="N.P.",'H(R+S+L)'!BF74="",Moore!BD74=""),"",'H(R+S+L)'!BF74-Moore!BD74)</f>
      </c>
      <c r="BE74" s="341">
        <f>IF(OR('H(R+S+L)'!BG74="N.P.",'H(R+S+L)'!BG74="",Moore!BE74=""),"",'H(R+S+L)'!BG74-Moore!BE74)</f>
      </c>
      <c r="BF74" s="341">
        <f>IF(OR('H(R+S+L)'!BH74="N.P.",'H(R+S+L)'!BH74="",Moore!BF74=""),"",'H(R+S+L)'!BH74-Moore!BF74)</f>
      </c>
      <c r="BG74" s="341">
        <f>IF(OR('H(R+S+L)'!BI74="N.P.",'H(R+S+L)'!BI74="",Moore!BG74=""),"",'H(R+S+L)'!BI74-Moore!BG74)</f>
      </c>
      <c r="BH74" s="342">
        <f>IF(OR('H(R+S+L)'!BJ74="N.P.",'H(R+S+L)'!BJ74="",Moore!BH74=""),"",'H(R+S+L)'!BJ74-Moore!BH74)</f>
      </c>
    </row>
    <row r="75" spans="7:60" ht="12.75">
      <c r="G75" s="788"/>
      <c r="H75" s="337">
        <f>'H(R+S+L)'!J75*1-Moore!H75</f>
        <v>0.0005129646160639822</v>
      </c>
      <c r="I75" s="297">
        <v>8</v>
      </c>
      <c r="J75" s="298">
        <v>6.5</v>
      </c>
      <c r="K75" s="296" t="s">
        <v>18</v>
      </c>
      <c r="L75" s="695">
        <f>IF(OR('H(R+S+L)'!N75="N.P.",'H(R+S+L)'!N75="",Moore!L75=""),"",'H(R+S+L)'!N75-Moore!L75)</f>
      </c>
      <c r="M75" s="347">
        <f>IF(OR('H(R+S+L)'!O75="N.P.",'H(R+S+L)'!O75="",Moore!M75=""),"",'H(R+S+L)'!O75-Moore!M75)</f>
      </c>
      <c r="N75" s="341">
        <f>IF(OR('H(R+S+L)'!P75="N.P.",'H(R+S+L)'!P75="",Moore!N75=""),"",'H(R+S+L)'!P75-Moore!N75)</f>
      </c>
      <c r="O75" s="342">
        <f>IF(OR('H(R+S+L)'!Q75="N.P.",'H(R+S+L)'!Q75="",Moore!O75=""),"",'H(R+S+L)'!Q75-Moore!O75)</f>
      </c>
      <c r="P75" s="347">
        <f>IF(OR('H(R+S+L)'!R75="N.P.",'H(R+S+L)'!R75="",Moore!P75=""),"",'H(R+S+L)'!R75-Moore!P75)</f>
      </c>
      <c r="Q75" s="341">
        <f>IF(OR('H(R+S+L)'!S75="N.P.",'H(R+S+L)'!S75="",Moore!Q75=""),"",'H(R+S+L)'!S75-Moore!Q75)</f>
      </c>
      <c r="R75" s="341">
        <f>IF(OR('H(R+S+L)'!T75="N.P.",'H(R+S+L)'!T75="",Moore!R75=""),"",'H(R+S+L)'!T75-Moore!R75)</f>
      </c>
      <c r="S75" s="341">
        <f>IF(OR('H(R+S+L)'!U75="N.P.",'H(R+S+L)'!U75="",Moore!S75=""),"",'H(R+S+L)'!U75-Moore!S75)</f>
      </c>
      <c r="T75" s="342">
        <f>IF(OR('H(R+S+L)'!V75="N.P.",'H(R+S+L)'!V75="",Moore!T75=""),"",'H(R+S+L)'!V75-Moore!T75)</f>
      </c>
      <c r="U75" s="347">
        <f>IF(OR('H(R+S+L)'!W75="N.P.",'H(R+S+L)'!W75="",Moore!U75=""),"",'H(R+S+L)'!W75-Moore!U75)</f>
      </c>
      <c r="V75" s="341">
        <f>IF(OR('H(R+S+L)'!X75="N.P.",'H(R+S+L)'!X75="",Moore!V75=""),"",'H(R+S+L)'!X75-Moore!V75)</f>
      </c>
      <c r="W75" s="341">
        <f>IF(OR('H(R+S+L)'!Y75="N.P.",'H(R+S+L)'!Y75="",Moore!W75=""),"",'H(R+S+L)'!Y75-Moore!W75)</f>
      </c>
      <c r="X75" s="341">
        <f>IF(OR('H(R+S+L)'!Z75="N.P.",'H(R+S+L)'!Z75="",Moore!X75=""),"",'H(R+S+L)'!Z75-Moore!X75)</f>
      </c>
      <c r="Y75" s="341">
        <f>IF(OR('H(R+S+L)'!AA75="N.P.",'H(R+S+L)'!AA75="",Moore!Y75=""),"",'H(R+S+L)'!AA75-Moore!Y75)</f>
      </c>
      <c r="Z75" s="341">
        <f>IF(OR('H(R+S+L)'!AB75="N.P.",'H(R+S+L)'!AB75="",Moore!Z75=""),"",'H(R+S+L)'!AB75-Moore!Z75)</f>
      </c>
      <c r="AA75" s="342">
        <f>IF(OR('H(R+S+L)'!AC75="N.P.",'H(R+S+L)'!AC75="",Moore!AA75=""),"",'H(R+S+L)'!AC75-Moore!AA75)</f>
      </c>
      <c r="AB75" s="347">
        <f>IF(OR('H(R+S+L)'!AD75="N.P.",'H(R+S+L)'!AD75="",Moore!AB75=""),"",'H(R+S+L)'!AD75-Moore!AB75)</f>
      </c>
      <c r="AC75" s="341">
        <f>IF(OR('H(R+S+L)'!AE75="N.P.",'H(R+S+L)'!AE75="",Moore!AC75=""),"",'H(R+S+L)'!AE75-Moore!AC75)</f>
      </c>
      <c r="AD75" s="341">
        <f>IF(OR('H(R+S+L)'!AF75="N.P.",'H(R+S+L)'!AF75="",Moore!AD75=""),"",'H(R+S+L)'!AF75-Moore!AD75)</f>
      </c>
      <c r="AE75" s="341">
        <f>IF(OR('H(R+S+L)'!AG75="N.P.",'H(R+S+L)'!AG75="",Moore!AE75=""),"",'H(R+S+L)'!AG75-Moore!AE75)</f>
      </c>
      <c r="AF75" s="341">
        <f>IF(OR('H(R+S+L)'!AH75="N.P.",'H(R+S+L)'!AH75="",Moore!AF75=""),"",'H(R+S+L)'!AH75-Moore!AF75)</f>
      </c>
      <c r="AG75" s="341">
        <f>IF(OR('H(R+S+L)'!AI75="N.P.",'H(R+S+L)'!AI75="",Moore!AG75=""),"",'H(R+S+L)'!AI75-Moore!AG75)</f>
      </c>
      <c r="AH75" s="341">
        <f>IF(OR('H(R+S+L)'!AJ75="N.P.",'H(R+S+L)'!AJ75="",Moore!AH75=""),"",'H(R+S+L)'!AJ75-Moore!AH75)</f>
      </c>
      <c r="AI75" s="341">
        <f>IF(OR('H(R+S+L)'!AK75="N.P.",'H(R+S+L)'!AK75="",Moore!AI75=""),"",'H(R+S+L)'!AK75-Moore!AI75)</f>
      </c>
      <c r="AJ75" s="342">
        <f>IF(OR('H(R+S+L)'!AL75="N.P.",'H(R+S+L)'!AL75="",Moore!AJ75=""),"",'H(R+S+L)'!AL75-Moore!AJ75)</f>
      </c>
      <c r="AK75" s="347">
        <f>IF(OR('H(R+S+L)'!AM75="N.P.",'H(R+S+L)'!AM75="",Moore!AK75=""),"",'H(R+S+L)'!AM75-Moore!AK75)</f>
      </c>
      <c r="AL75" s="341">
        <f>IF(OR('H(R+S+L)'!AN75="N.P.",'H(R+S+L)'!AN75="",Moore!AL75=""),"",'H(R+S+L)'!AN75-Moore!AL75)</f>
      </c>
      <c r="AM75" s="341">
        <f>IF(OR('H(R+S+L)'!AO75="N.P.",'H(R+S+L)'!AO75="",Moore!AM75=""),"",'H(R+S+L)'!AO75-Moore!AM75)</f>
      </c>
      <c r="AN75" s="341">
        <f>IF(OR('H(R+S+L)'!AP75="N.P.",'H(R+S+L)'!AP75="",Moore!AN75=""),"",'H(R+S+L)'!AP75-Moore!AN75)</f>
      </c>
      <c r="AO75" s="341">
        <f>IF(OR('H(R+S+L)'!AQ75="N.P.",'H(R+S+L)'!AQ75="",Moore!AO75=""),"",'H(R+S+L)'!AQ75-Moore!AO75)</f>
      </c>
      <c r="AP75" s="341">
        <f>IF(OR('H(R+S+L)'!AR75="N.P.",'H(R+S+L)'!AR75="",Moore!AP75=""),"",'H(R+S+L)'!AR75-Moore!AP75)</f>
      </c>
      <c r="AQ75" s="341">
        <f>IF(OR('H(R+S+L)'!AS75="N.P.",'H(R+S+L)'!AS75="",Moore!AQ75=""),"",'H(R+S+L)'!AS75-Moore!AQ75)</f>
      </c>
      <c r="AR75" s="341">
        <f>IF(OR('H(R+S+L)'!AT75="N.P.",'H(R+S+L)'!AT75="",Moore!AR75=""),"",'H(R+S+L)'!AT75-Moore!AR75)</f>
      </c>
      <c r="AS75" s="341">
        <f>IF(OR('H(R+S+L)'!AU75="N.P.",'H(R+S+L)'!AU75="",Moore!AS75=""),"",'H(R+S+L)'!AU75-Moore!AS75)</f>
      </c>
      <c r="AT75" s="341">
        <f>IF(OR('H(R+S+L)'!AV75="N.P.",'H(R+S+L)'!AV75="",Moore!AT75=""),"",'H(R+S+L)'!AV75-Moore!AT75)</f>
        <v>0.1394201789953513</v>
      </c>
      <c r="AU75" s="342">
        <f>IF(OR('H(R+S+L)'!AW75="N.P.",'H(R+S+L)'!AW75="",Moore!AU75=""),"",'H(R+S+L)'!AW75-Moore!AU75)</f>
      </c>
      <c r="AV75" s="347">
        <f>IF(OR('H(R+S+L)'!AX75="N.P.",'H(R+S+L)'!AX75="",Moore!AV75=""),"",'H(R+S+L)'!AX75-Moore!AV75)</f>
      </c>
      <c r="AW75" s="341">
        <f>IF(OR('H(R+S+L)'!AY75="N.P.",'H(R+S+L)'!AY75="",Moore!AW75=""),"",'H(R+S+L)'!AY75-Moore!AW75)</f>
      </c>
      <c r="AX75" s="341">
        <f>IF(OR('H(R+S+L)'!AZ75="N.P.",'H(R+S+L)'!AZ75="",Moore!AX75=""),"",'H(R+S+L)'!AZ75-Moore!AX75)</f>
      </c>
      <c r="AY75" s="341">
        <f>IF(OR('H(R+S+L)'!BA75="N.P.",'H(R+S+L)'!BA75="",Moore!AY75=""),"",'H(R+S+L)'!BA75-Moore!AY75)</f>
      </c>
      <c r="AZ75" s="341">
        <f>IF(OR('H(R+S+L)'!BB75="N.P.",'H(R+S+L)'!BB75="",Moore!AZ75=""),"",'H(R+S+L)'!BB75-Moore!AZ75)</f>
      </c>
      <c r="BA75" s="341">
        <f>IF(OR('H(R+S+L)'!BC75="N.P.",'H(R+S+L)'!BC75="",Moore!BA75=""),"",'H(R+S+L)'!BC75-Moore!BA75)</f>
      </c>
      <c r="BB75" s="341">
        <f>IF(OR('H(R+S+L)'!BD75="N.P.",'H(R+S+L)'!BD75="",Moore!BB75=""),"",'H(R+S+L)'!BD75-Moore!BB75)</f>
      </c>
      <c r="BC75" s="341">
        <f>IF(OR('H(R+S+L)'!BE75="N.P.",'H(R+S+L)'!BE75="",Moore!BC75=""),"",'H(R+S+L)'!BE75-Moore!BC75)</f>
      </c>
      <c r="BD75" s="341">
        <f>IF(OR('H(R+S+L)'!BF75="N.P.",'H(R+S+L)'!BF75="",Moore!BD75=""),"",'H(R+S+L)'!BF75-Moore!BD75)</f>
      </c>
      <c r="BE75" s="341">
        <f>IF(OR('H(R+S+L)'!BG75="N.P.",'H(R+S+L)'!BG75="",Moore!BE75=""),"",'H(R+S+L)'!BG75-Moore!BE75)</f>
      </c>
      <c r="BF75" s="341">
        <f>IF(OR('H(R+S+L)'!BH75="N.P.",'H(R+S+L)'!BH75="",Moore!BF75=""),"",'H(R+S+L)'!BH75-Moore!BF75)</f>
      </c>
      <c r="BG75" s="341">
        <f>IF(OR('H(R+S+L)'!BI75="N.P.",'H(R+S+L)'!BI75="",Moore!BG75=""),"",'H(R+S+L)'!BI75-Moore!BG75)</f>
      </c>
      <c r="BH75" s="342">
        <f>IF(OR('H(R+S+L)'!BJ75="N.P.",'H(R+S+L)'!BJ75="",Moore!BH75=""),"",'H(R+S+L)'!BJ75-Moore!BH75)</f>
      </c>
    </row>
    <row r="76" spans="7:60" ht="12.75">
      <c r="G76" s="788"/>
      <c r="H76" s="337">
        <f>'H(R+S+L)'!J76*1-Moore!H76</f>
        <v>0.0006167635583551601</v>
      </c>
      <c r="I76" s="297">
        <v>8</v>
      </c>
      <c r="J76" s="298">
        <v>6.5</v>
      </c>
      <c r="K76" s="296" t="s">
        <v>19</v>
      </c>
      <c r="L76" s="695">
        <f>IF(OR('H(R+S+L)'!N76="N.P.",'H(R+S+L)'!N76="",Moore!L76=""),"",'H(R+S+L)'!N76-Moore!L76)</f>
      </c>
      <c r="M76" s="347">
        <f>IF(OR('H(R+S+L)'!O76="N.P.",'H(R+S+L)'!O76="",Moore!M76=""),"",'H(R+S+L)'!O76-Moore!M76)</f>
      </c>
      <c r="N76" s="341">
        <f>IF(OR('H(R+S+L)'!P76="N.P.",'H(R+S+L)'!P76="",Moore!N76=""),"",'H(R+S+L)'!P76-Moore!N76)</f>
      </c>
      <c r="O76" s="342">
        <f>IF(OR('H(R+S+L)'!Q76="N.P.",'H(R+S+L)'!Q76="",Moore!O76=""),"",'H(R+S+L)'!Q76-Moore!O76)</f>
      </c>
      <c r="P76" s="347">
        <f>IF(OR('H(R+S+L)'!R76="N.P.",'H(R+S+L)'!R76="",Moore!P76=""),"",'H(R+S+L)'!R76-Moore!P76)</f>
      </c>
      <c r="Q76" s="341">
        <f>IF(OR('H(R+S+L)'!S76="N.P.",'H(R+S+L)'!S76="",Moore!Q76=""),"",'H(R+S+L)'!S76-Moore!Q76)</f>
      </c>
      <c r="R76" s="341">
        <f>IF(OR('H(R+S+L)'!T76="N.P.",'H(R+S+L)'!T76="",Moore!R76=""),"",'H(R+S+L)'!T76-Moore!R76)</f>
      </c>
      <c r="S76" s="341">
        <f>IF(OR('H(R+S+L)'!U76="N.P.",'H(R+S+L)'!U76="",Moore!S76=""),"",'H(R+S+L)'!U76-Moore!S76)</f>
      </c>
      <c r="T76" s="342">
        <f>IF(OR('H(R+S+L)'!V76="N.P.",'H(R+S+L)'!V76="",Moore!T76=""),"",'H(R+S+L)'!V76-Moore!T76)</f>
      </c>
      <c r="U76" s="347">
        <f>IF(OR('H(R+S+L)'!W76="N.P.",'H(R+S+L)'!W76="",Moore!U76=""),"",'H(R+S+L)'!W76-Moore!U76)</f>
      </c>
      <c r="V76" s="341">
        <f>IF(OR('H(R+S+L)'!X76="N.P.",'H(R+S+L)'!X76="",Moore!V76=""),"",'H(R+S+L)'!X76-Moore!V76)</f>
      </c>
      <c r="W76" s="341">
        <f>IF(OR('H(R+S+L)'!Y76="N.P.",'H(R+S+L)'!Y76="",Moore!W76=""),"",'H(R+S+L)'!Y76-Moore!W76)</f>
      </c>
      <c r="X76" s="341">
        <f>IF(OR('H(R+S+L)'!Z76="N.P.",'H(R+S+L)'!Z76="",Moore!X76=""),"",'H(R+S+L)'!Z76-Moore!X76)</f>
      </c>
      <c r="Y76" s="341">
        <f>IF(OR('H(R+S+L)'!AA76="N.P.",'H(R+S+L)'!AA76="",Moore!Y76=""),"",'H(R+S+L)'!AA76-Moore!Y76)</f>
      </c>
      <c r="Z76" s="341">
        <f>IF(OR('H(R+S+L)'!AB76="N.P.",'H(R+S+L)'!AB76="",Moore!Z76=""),"",'H(R+S+L)'!AB76-Moore!Z76)</f>
      </c>
      <c r="AA76" s="342">
        <f>IF(OR('H(R+S+L)'!AC76="N.P.",'H(R+S+L)'!AC76="",Moore!AA76=""),"",'H(R+S+L)'!AC76-Moore!AA76)</f>
      </c>
      <c r="AB76" s="347">
        <f>IF(OR('H(R+S+L)'!AD76="N.P.",'H(R+S+L)'!AD76="",Moore!AB76=""),"",'H(R+S+L)'!AD76-Moore!AB76)</f>
      </c>
      <c r="AC76" s="341">
        <f>IF(OR('H(R+S+L)'!AE76="N.P.",'H(R+S+L)'!AE76="",Moore!AC76=""),"",'H(R+S+L)'!AE76-Moore!AC76)</f>
      </c>
      <c r="AD76" s="341">
        <f>IF(OR('H(R+S+L)'!AF76="N.P.",'H(R+S+L)'!AF76="",Moore!AD76=""),"",'H(R+S+L)'!AF76-Moore!AD76)</f>
      </c>
      <c r="AE76" s="341">
        <f>IF(OR('H(R+S+L)'!AG76="N.P.",'H(R+S+L)'!AG76="",Moore!AE76=""),"",'H(R+S+L)'!AG76-Moore!AE76)</f>
      </c>
      <c r="AF76" s="341">
        <f>IF(OR('H(R+S+L)'!AH76="N.P.",'H(R+S+L)'!AH76="",Moore!AF76=""),"",'H(R+S+L)'!AH76-Moore!AF76)</f>
      </c>
      <c r="AG76" s="341">
        <f>IF(OR('H(R+S+L)'!AI76="N.P.",'H(R+S+L)'!AI76="",Moore!AG76=""),"",'H(R+S+L)'!AI76-Moore!AG76)</f>
      </c>
      <c r="AH76" s="341">
        <f>IF(OR('H(R+S+L)'!AJ76="N.P.",'H(R+S+L)'!AJ76="",Moore!AH76=""),"",'H(R+S+L)'!AJ76-Moore!AH76)</f>
      </c>
      <c r="AI76" s="341">
        <f>IF(OR('H(R+S+L)'!AK76="N.P.",'H(R+S+L)'!AK76="",Moore!AI76=""),"",'H(R+S+L)'!AK76-Moore!AI76)</f>
      </c>
      <c r="AJ76" s="342">
        <f>IF(OR('H(R+S+L)'!AL76="N.P.",'H(R+S+L)'!AL76="",Moore!AJ76=""),"",'H(R+S+L)'!AL76-Moore!AJ76)</f>
      </c>
      <c r="AK76" s="347">
        <f>IF(OR('H(R+S+L)'!AM76="N.P.",'H(R+S+L)'!AM76="",Moore!AK76=""),"",'H(R+S+L)'!AM76-Moore!AK76)</f>
      </c>
      <c r="AL76" s="341">
        <f>IF(OR('H(R+S+L)'!AN76="N.P.",'H(R+S+L)'!AN76="",Moore!AL76=""),"",'H(R+S+L)'!AN76-Moore!AL76)</f>
      </c>
      <c r="AM76" s="341">
        <f>IF(OR('H(R+S+L)'!AO76="N.P.",'H(R+S+L)'!AO76="",Moore!AM76=""),"",'H(R+S+L)'!AO76-Moore!AM76)</f>
      </c>
      <c r="AN76" s="341">
        <f>IF(OR('H(R+S+L)'!AP76="N.P.",'H(R+S+L)'!AP76="",Moore!AN76=""),"",'H(R+S+L)'!AP76-Moore!AN76)</f>
      </c>
      <c r="AO76" s="341">
        <f>IF(OR('H(R+S+L)'!AQ76="N.P.",'H(R+S+L)'!AQ76="",Moore!AO76=""),"",'H(R+S+L)'!AQ76-Moore!AO76)</f>
      </c>
      <c r="AP76" s="341">
        <f>IF(OR('H(R+S+L)'!AR76="N.P.",'H(R+S+L)'!AR76="",Moore!AP76=""),"",'H(R+S+L)'!AR76-Moore!AP76)</f>
      </c>
      <c r="AQ76" s="341">
        <f>IF(OR('H(R+S+L)'!AS76="N.P.",'H(R+S+L)'!AS76="",Moore!AQ76=""),"",'H(R+S+L)'!AS76-Moore!AQ76)</f>
      </c>
      <c r="AR76" s="341">
        <f>IF(OR('H(R+S+L)'!AT76="N.P.",'H(R+S+L)'!AT76="",Moore!AR76=""),"",'H(R+S+L)'!AT76-Moore!AR76)</f>
      </c>
      <c r="AS76" s="341">
        <f>IF(OR('H(R+S+L)'!AU76="N.P.",'H(R+S+L)'!AU76="",Moore!AS76=""),"",'H(R+S+L)'!AU76-Moore!AS76)</f>
      </c>
      <c r="AT76" s="341">
        <f>IF(OR('H(R+S+L)'!AV76="N.P.",'H(R+S+L)'!AV76="",Moore!AT76=""),"",'H(R+S+L)'!AV76-Moore!AT76)</f>
      </c>
      <c r="AU76" s="342">
        <f>IF(OR('H(R+S+L)'!AW76="N.P.",'H(R+S+L)'!AW76="",Moore!AU76=""),"",'H(R+S+L)'!AW76-Moore!AU76)</f>
      </c>
      <c r="AV76" s="347">
        <f>IF(OR('H(R+S+L)'!AX76="N.P.",'H(R+S+L)'!AX76="",Moore!AV76=""),"",'H(R+S+L)'!AX76-Moore!AV76)</f>
      </c>
      <c r="AW76" s="341">
        <f>IF(OR('H(R+S+L)'!AY76="N.P.",'H(R+S+L)'!AY76="",Moore!AW76=""),"",'H(R+S+L)'!AY76-Moore!AW76)</f>
      </c>
      <c r="AX76" s="341">
        <f>IF(OR('H(R+S+L)'!AZ76="N.P.",'H(R+S+L)'!AZ76="",Moore!AX76=""),"",'H(R+S+L)'!AZ76-Moore!AX76)</f>
      </c>
      <c r="AY76" s="341">
        <f>IF(OR('H(R+S+L)'!BA76="N.P.",'H(R+S+L)'!BA76="",Moore!AY76=""),"",'H(R+S+L)'!BA76-Moore!AY76)</f>
      </c>
      <c r="AZ76" s="341">
        <f>IF(OR('H(R+S+L)'!BB76="N.P.",'H(R+S+L)'!BB76="",Moore!AZ76=""),"",'H(R+S+L)'!BB76-Moore!AZ76)</f>
      </c>
      <c r="BA76" s="341">
        <f>IF(OR('H(R+S+L)'!BC76="N.P.",'H(R+S+L)'!BC76="",Moore!BA76=""),"",'H(R+S+L)'!BC76-Moore!BA76)</f>
      </c>
      <c r="BB76" s="341">
        <f>IF(OR('H(R+S+L)'!BD76="N.P.",'H(R+S+L)'!BD76="",Moore!BB76=""),"",'H(R+S+L)'!BD76-Moore!BB76)</f>
      </c>
      <c r="BC76" s="341">
        <f>IF(OR('H(R+S+L)'!BE76="N.P.",'H(R+S+L)'!BE76="",Moore!BC76=""),"",'H(R+S+L)'!BE76-Moore!BC76)</f>
      </c>
      <c r="BD76" s="341">
        <f>IF(OR('H(R+S+L)'!BF76="N.P.",'H(R+S+L)'!BF76="",Moore!BD76=""),"",'H(R+S+L)'!BF76-Moore!BD76)</f>
      </c>
      <c r="BE76" s="341">
        <f>IF(OR('H(R+S+L)'!BG76="N.P.",'H(R+S+L)'!BG76="",Moore!BE76=""),"",'H(R+S+L)'!BG76-Moore!BE76)</f>
      </c>
      <c r="BF76" s="341">
        <f>IF(OR('H(R+S+L)'!BH76="N.P.",'H(R+S+L)'!BH76="",Moore!BF76=""),"",'H(R+S+L)'!BH76-Moore!BF76)</f>
      </c>
      <c r="BG76" s="341">
        <f>IF(OR('H(R+S+L)'!BI76="N.P.",'H(R+S+L)'!BI76="",Moore!BG76=""),"",'H(R+S+L)'!BI76-Moore!BG76)</f>
      </c>
      <c r="BH76" s="342">
        <f>IF(OR('H(R+S+L)'!BJ76="N.P.",'H(R+S+L)'!BJ76="",Moore!BH76=""),"",'H(R+S+L)'!BJ76-Moore!BH76)</f>
      </c>
    </row>
    <row r="77" spans="7:60" ht="12.75">
      <c r="G77" s="788"/>
      <c r="H77" s="337">
        <f>'H(R+S+L)'!J77*1-Moore!H77</f>
        <v>0.0010243680590065196</v>
      </c>
      <c r="I77" s="297">
        <v>8</v>
      </c>
      <c r="J77" s="298">
        <v>7.5</v>
      </c>
      <c r="K77" s="296" t="s">
        <v>61</v>
      </c>
      <c r="L77" s="695">
        <f>IF(OR('H(R+S+L)'!N77="N.P.",'H(R+S+L)'!N77="",Moore!L77=""),"",'H(R+S+L)'!N77-Moore!L77)</f>
      </c>
      <c r="M77" s="347">
        <f>IF(OR('H(R+S+L)'!O77="N.P.",'H(R+S+L)'!O77="",Moore!M77=""),"",'H(R+S+L)'!O77-Moore!M77)</f>
      </c>
      <c r="N77" s="341">
        <f>IF(OR('H(R+S+L)'!P77="N.P.",'H(R+S+L)'!P77="",Moore!N77=""),"",'H(R+S+L)'!P77-Moore!N77)</f>
      </c>
      <c r="O77" s="342">
        <f>IF(OR('H(R+S+L)'!Q77="N.P.",'H(R+S+L)'!Q77="",Moore!O77=""),"",'H(R+S+L)'!Q77-Moore!O77)</f>
      </c>
      <c r="P77" s="347">
        <f>IF(OR('H(R+S+L)'!R77="N.P.",'H(R+S+L)'!R77="",Moore!P77=""),"",'H(R+S+L)'!R77-Moore!P77)</f>
      </c>
      <c r="Q77" s="341">
        <f>IF(OR('H(R+S+L)'!S77="N.P.",'H(R+S+L)'!S77="",Moore!Q77=""),"",'H(R+S+L)'!S77-Moore!Q77)</f>
      </c>
      <c r="R77" s="341">
        <f>IF(OR('H(R+S+L)'!T77="N.P.",'H(R+S+L)'!T77="",Moore!R77=""),"",'H(R+S+L)'!T77-Moore!R77)</f>
      </c>
      <c r="S77" s="341">
        <f>IF(OR('H(R+S+L)'!U77="N.P.",'H(R+S+L)'!U77="",Moore!S77=""),"",'H(R+S+L)'!U77-Moore!S77)</f>
      </c>
      <c r="T77" s="342">
        <f>IF(OR('H(R+S+L)'!V77="N.P.",'H(R+S+L)'!V77="",Moore!T77=""),"",'H(R+S+L)'!V77-Moore!T77)</f>
      </c>
      <c r="U77" s="347">
        <f>IF(OR('H(R+S+L)'!W77="N.P.",'H(R+S+L)'!W77="",Moore!U77=""),"",'H(R+S+L)'!W77-Moore!U77)</f>
      </c>
      <c r="V77" s="341">
        <f>IF(OR('H(R+S+L)'!X77="N.P.",'H(R+S+L)'!X77="",Moore!V77=""),"",'H(R+S+L)'!X77-Moore!V77)</f>
      </c>
      <c r="W77" s="341">
        <f>IF(OR('H(R+S+L)'!Y77="N.P.",'H(R+S+L)'!Y77="",Moore!W77=""),"",'H(R+S+L)'!Y77-Moore!W77)</f>
      </c>
      <c r="X77" s="341">
        <f>IF(OR('H(R+S+L)'!Z77="N.P.",'H(R+S+L)'!Z77="",Moore!X77=""),"",'H(R+S+L)'!Z77-Moore!X77)</f>
      </c>
      <c r="Y77" s="341">
        <f>IF(OR('H(R+S+L)'!AA77="N.P.",'H(R+S+L)'!AA77="",Moore!Y77=""),"",'H(R+S+L)'!AA77-Moore!Y77)</f>
      </c>
      <c r="Z77" s="341">
        <f>IF(OR('H(R+S+L)'!AB77="N.P.",'H(R+S+L)'!AB77="",Moore!Z77=""),"",'H(R+S+L)'!AB77-Moore!Z77)</f>
      </c>
      <c r="AA77" s="342">
        <f>IF(OR('H(R+S+L)'!AC77="N.P.",'H(R+S+L)'!AC77="",Moore!AA77=""),"",'H(R+S+L)'!AC77-Moore!AA77)</f>
      </c>
      <c r="AB77" s="347">
        <f>IF(OR('H(R+S+L)'!AD77="N.P.",'H(R+S+L)'!AD77="",Moore!AB77=""),"",'H(R+S+L)'!AD77-Moore!AB77)</f>
      </c>
      <c r="AC77" s="341">
        <f>IF(OR('H(R+S+L)'!AE77="N.P.",'H(R+S+L)'!AE77="",Moore!AC77=""),"",'H(R+S+L)'!AE77-Moore!AC77)</f>
      </c>
      <c r="AD77" s="341">
        <f>IF(OR('H(R+S+L)'!AF77="N.P.",'H(R+S+L)'!AF77="",Moore!AD77=""),"",'H(R+S+L)'!AF77-Moore!AD77)</f>
      </c>
      <c r="AE77" s="341">
        <f>IF(OR('H(R+S+L)'!AG77="N.P.",'H(R+S+L)'!AG77="",Moore!AE77=""),"",'H(R+S+L)'!AG77-Moore!AE77)</f>
      </c>
      <c r="AF77" s="341">
        <f>IF(OR('H(R+S+L)'!AH77="N.P.",'H(R+S+L)'!AH77="",Moore!AF77=""),"",'H(R+S+L)'!AH77-Moore!AF77)</f>
      </c>
      <c r="AG77" s="341">
        <f>IF(OR('H(R+S+L)'!AI77="N.P.",'H(R+S+L)'!AI77="",Moore!AG77=""),"",'H(R+S+L)'!AI77-Moore!AG77)</f>
      </c>
      <c r="AH77" s="341">
        <f>IF(OR('H(R+S+L)'!AJ77="N.P.",'H(R+S+L)'!AJ77="",Moore!AH77=""),"",'H(R+S+L)'!AJ77-Moore!AH77)</f>
      </c>
      <c r="AI77" s="341">
        <f>IF(OR('H(R+S+L)'!AK77="N.P.",'H(R+S+L)'!AK77="",Moore!AI77=""),"",'H(R+S+L)'!AK77-Moore!AI77)</f>
      </c>
      <c r="AJ77" s="342">
        <f>IF(OR('H(R+S+L)'!AL77="N.P.",'H(R+S+L)'!AL77="",Moore!AJ77=""),"",'H(R+S+L)'!AL77-Moore!AJ77)</f>
      </c>
      <c r="AK77" s="347">
        <f>IF(OR('H(R+S+L)'!AM77="N.P.",'H(R+S+L)'!AM77="",Moore!AK77=""),"",'H(R+S+L)'!AM77-Moore!AK77)</f>
      </c>
      <c r="AL77" s="341">
        <f>IF(OR('H(R+S+L)'!AN77="N.P.",'H(R+S+L)'!AN77="",Moore!AL77=""),"",'H(R+S+L)'!AN77-Moore!AL77)</f>
      </c>
      <c r="AM77" s="341">
        <f>IF(OR('H(R+S+L)'!AO77="N.P.",'H(R+S+L)'!AO77="",Moore!AM77=""),"",'H(R+S+L)'!AO77-Moore!AM77)</f>
      </c>
      <c r="AN77" s="341">
        <f>IF(OR('H(R+S+L)'!AP77="N.P.",'H(R+S+L)'!AP77="",Moore!AN77=""),"",'H(R+S+L)'!AP77-Moore!AN77)</f>
      </c>
      <c r="AO77" s="341">
        <f>IF(OR('H(R+S+L)'!AQ77="N.P.",'H(R+S+L)'!AQ77="",Moore!AO77=""),"",'H(R+S+L)'!AQ77-Moore!AO77)</f>
      </c>
      <c r="AP77" s="341">
        <f>IF(OR('H(R+S+L)'!AR77="N.P.",'H(R+S+L)'!AR77="",Moore!AP77=""),"",'H(R+S+L)'!AR77-Moore!AP77)</f>
      </c>
      <c r="AQ77" s="341">
        <f>IF(OR('H(R+S+L)'!AS77="N.P.",'H(R+S+L)'!AS77="",Moore!AQ77=""),"",'H(R+S+L)'!AS77-Moore!AQ77)</f>
      </c>
      <c r="AR77" s="341">
        <f>IF(OR('H(R+S+L)'!AT77="N.P.",'H(R+S+L)'!AT77="",Moore!AR77=""),"",'H(R+S+L)'!AT77-Moore!AR77)</f>
      </c>
      <c r="AS77" s="341">
        <f>IF(OR('H(R+S+L)'!AU77="N.P.",'H(R+S+L)'!AU77="",Moore!AS77=""),"",'H(R+S+L)'!AU77-Moore!AS77)</f>
      </c>
      <c r="AT77" s="341">
        <f>IF(OR('H(R+S+L)'!AV77="N.P.",'H(R+S+L)'!AV77="",Moore!AT77=""),"",'H(R+S+L)'!AV77-Moore!AT77)</f>
      </c>
      <c r="AU77" s="342">
        <f>IF(OR('H(R+S+L)'!AW77="N.P.",'H(R+S+L)'!AW77="",Moore!AU77=""),"",'H(R+S+L)'!AW77-Moore!AU77)</f>
      </c>
      <c r="AV77" s="347">
        <f>IF(OR('H(R+S+L)'!AX77="N.P.",'H(R+S+L)'!AX77="",Moore!AV77=""),"",'H(R+S+L)'!AX77-Moore!AV77)</f>
      </c>
      <c r="AW77" s="341">
        <f>IF(OR('H(R+S+L)'!AY77="N.P.",'H(R+S+L)'!AY77="",Moore!AW77=""),"",'H(R+S+L)'!AY77-Moore!AW77)</f>
      </c>
      <c r="AX77" s="341">
        <f>IF(OR('H(R+S+L)'!AZ77="N.P.",'H(R+S+L)'!AZ77="",Moore!AX77=""),"",'H(R+S+L)'!AZ77-Moore!AX77)</f>
      </c>
      <c r="AY77" s="341">
        <f>IF(OR('H(R+S+L)'!BA77="N.P.",'H(R+S+L)'!BA77="",Moore!AY77=""),"",'H(R+S+L)'!BA77-Moore!AY77)</f>
      </c>
      <c r="AZ77" s="341">
        <f>IF(OR('H(R+S+L)'!BB77="N.P.",'H(R+S+L)'!BB77="",Moore!AZ77=""),"",'H(R+S+L)'!BB77-Moore!AZ77)</f>
      </c>
      <c r="BA77" s="341">
        <f>IF(OR('H(R+S+L)'!BC77="N.P.",'H(R+S+L)'!BC77="",Moore!BA77=""),"",'H(R+S+L)'!BC77-Moore!BA77)</f>
      </c>
      <c r="BB77" s="341">
        <f>IF(OR('H(R+S+L)'!BD77="N.P.",'H(R+S+L)'!BD77="",Moore!BB77=""),"",'H(R+S+L)'!BD77-Moore!BB77)</f>
      </c>
      <c r="BC77" s="341">
        <f>IF(OR('H(R+S+L)'!BE77="N.P.",'H(R+S+L)'!BE77="",Moore!BC77=""),"",'H(R+S+L)'!BE77-Moore!BC77)</f>
      </c>
      <c r="BD77" s="341">
        <f>IF(OR('H(R+S+L)'!BF77="N.P.",'H(R+S+L)'!BF77="",Moore!BD77=""),"",'H(R+S+L)'!BF77-Moore!BD77)</f>
      </c>
      <c r="BE77" s="341">
        <f>IF(OR('H(R+S+L)'!BG77="N.P.",'H(R+S+L)'!BG77="",Moore!BE77=""),"",'H(R+S+L)'!BG77-Moore!BE77)</f>
      </c>
      <c r="BF77" s="341">
        <f>IF(OR('H(R+S+L)'!BH77="N.P.",'H(R+S+L)'!BH77="",Moore!BF77=""),"",'H(R+S+L)'!BH77-Moore!BF77)</f>
      </c>
      <c r="BG77" s="341">
        <f>IF(OR('H(R+S+L)'!BI77="N.P.",'H(R+S+L)'!BI77="",Moore!BG77=""),"",'H(R+S+L)'!BI77-Moore!BG77)</f>
        <v>0.04868220828939229</v>
      </c>
      <c r="BH77" s="342">
        <f>IF(OR('H(R+S+L)'!BJ77="N.P.",'H(R+S+L)'!BJ77="",Moore!BH77=""),"",'H(R+S+L)'!BJ77-Moore!BH77)</f>
      </c>
    </row>
    <row r="78" spans="7:60" ht="13.5" thickBot="1">
      <c r="G78" s="789"/>
      <c r="H78" s="338">
        <f>'H(R+S+L)'!J78*1-Moore!H78</f>
        <v>0.0005086799501441419</v>
      </c>
      <c r="I78" s="330">
        <v>8</v>
      </c>
      <c r="J78" s="327">
        <v>7.5</v>
      </c>
      <c r="K78" s="328" t="s">
        <v>62</v>
      </c>
      <c r="L78" s="696">
        <f>IF(OR('H(R+S+L)'!N78="N.P.",'H(R+S+L)'!N78="",Moore!L78=""),"",'H(R+S+L)'!N78-Moore!L78)</f>
      </c>
      <c r="M78" s="348">
        <f>IF(OR('H(R+S+L)'!O78="N.P.",'H(R+S+L)'!O78="",Moore!M78=""),"",'H(R+S+L)'!O78-Moore!M78)</f>
      </c>
      <c r="N78" s="343">
        <f>IF(OR('H(R+S+L)'!P78="N.P.",'H(R+S+L)'!P78="",Moore!N78=""),"",'H(R+S+L)'!P78-Moore!N78)</f>
      </c>
      <c r="O78" s="344">
        <f>IF(OR('H(R+S+L)'!Q78="N.P.",'H(R+S+L)'!Q78="",Moore!O78=""),"",'H(R+S+L)'!Q78-Moore!O78)</f>
      </c>
      <c r="P78" s="348">
        <f>IF(OR('H(R+S+L)'!R78="N.P.",'H(R+S+L)'!R78="",Moore!P78=""),"",'H(R+S+L)'!R78-Moore!P78)</f>
      </c>
      <c r="Q78" s="343">
        <f>IF(OR('H(R+S+L)'!S78="N.P.",'H(R+S+L)'!S78="",Moore!Q78=""),"",'H(R+S+L)'!S78-Moore!Q78)</f>
      </c>
      <c r="R78" s="343">
        <f>IF(OR('H(R+S+L)'!T78="N.P.",'H(R+S+L)'!T78="",Moore!R78=""),"",'H(R+S+L)'!T78-Moore!R78)</f>
      </c>
      <c r="S78" s="343">
        <f>IF(OR('H(R+S+L)'!U78="N.P.",'H(R+S+L)'!U78="",Moore!S78=""),"",'H(R+S+L)'!U78-Moore!S78)</f>
      </c>
      <c r="T78" s="344">
        <f>IF(OR('H(R+S+L)'!V78="N.P.",'H(R+S+L)'!V78="",Moore!T78=""),"",'H(R+S+L)'!V78-Moore!T78)</f>
      </c>
      <c r="U78" s="348">
        <f>IF(OR('H(R+S+L)'!W78="N.P.",'H(R+S+L)'!W78="",Moore!U78=""),"",'H(R+S+L)'!W78-Moore!U78)</f>
      </c>
      <c r="V78" s="343">
        <f>IF(OR('H(R+S+L)'!X78="N.P.",'H(R+S+L)'!X78="",Moore!V78=""),"",'H(R+S+L)'!X78-Moore!V78)</f>
      </c>
      <c r="W78" s="343">
        <f>IF(OR('H(R+S+L)'!Y78="N.P.",'H(R+S+L)'!Y78="",Moore!W78=""),"",'H(R+S+L)'!Y78-Moore!W78)</f>
      </c>
      <c r="X78" s="343">
        <f>IF(OR('H(R+S+L)'!Z78="N.P.",'H(R+S+L)'!Z78="",Moore!X78=""),"",'H(R+S+L)'!Z78-Moore!X78)</f>
      </c>
      <c r="Y78" s="343">
        <f>IF(OR('H(R+S+L)'!AA78="N.P.",'H(R+S+L)'!AA78="",Moore!Y78=""),"",'H(R+S+L)'!AA78-Moore!Y78)</f>
      </c>
      <c r="Z78" s="343">
        <f>IF(OR('H(R+S+L)'!AB78="N.P.",'H(R+S+L)'!AB78="",Moore!Z78=""),"",'H(R+S+L)'!AB78-Moore!Z78)</f>
      </c>
      <c r="AA78" s="344">
        <f>IF(OR('H(R+S+L)'!AC78="N.P.",'H(R+S+L)'!AC78="",Moore!AA78=""),"",'H(R+S+L)'!AC78-Moore!AA78)</f>
      </c>
      <c r="AB78" s="348">
        <f>IF(OR('H(R+S+L)'!AD78="N.P.",'H(R+S+L)'!AD78="",Moore!AB78=""),"",'H(R+S+L)'!AD78-Moore!AB78)</f>
      </c>
      <c r="AC78" s="343">
        <f>IF(OR('H(R+S+L)'!AE78="N.P.",'H(R+S+L)'!AE78="",Moore!AC78=""),"",'H(R+S+L)'!AE78-Moore!AC78)</f>
      </c>
      <c r="AD78" s="343">
        <f>IF(OR('H(R+S+L)'!AF78="N.P.",'H(R+S+L)'!AF78="",Moore!AD78=""),"",'H(R+S+L)'!AF78-Moore!AD78)</f>
      </c>
      <c r="AE78" s="343">
        <f>IF(OR('H(R+S+L)'!AG78="N.P.",'H(R+S+L)'!AG78="",Moore!AE78=""),"",'H(R+S+L)'!AG78-Moore!AE78)</f>
      </c>
      <c r="AF78" s="343">
        <f>IF(OR('H(R+S+L)'!AH78="N.P.",'H(R+S+L)'!AH78="",Moore!AF78=""),"",'H(R+S+L)'!AH78-Moore!AF78)</f>
      </c>
      <c r="AG78" s="343">
        <f>IF(OR('H(R+S+L)'!AI78="N.P.",'H(R+S+L)'!AI78="",Moore!AG78=""),"",'H(R+S+L)'!AI78-Moore!AG78)</f>
      </c>
      <c r="AH78" s="343">
        <f>IF(OR('H(R+S+L)'!AJ78="N.P.",'H(R+S+L)'!AJ78="",Moore!AH78=""),"",'H(R+S+L)'!AJ78-Moore!AH78)</f>
      </c>
      <c r="AI78" s="343">
        <f>IF(OR('H(R+S+L)'!AK78="N.P.",'H(R+S+L)'!AK78="",Moore!AI78=""),"",'H(R+S+L)'!AK78-Moore!AI78)</f>
      </c>
      <c r="AJ78" s="344">
        <f>IF(OR('H(R+S+L)'!AL78="N.P.",'H(R+S+L)'!AL78="",Moore!AJ78=""),"",'H(R+S+L)'!AL78-Moore!AJ78)</f>
      </c>
      <c r="AK78" s="348">
        <f>IF(OR('H(R+S+L)'!AM78="N.P.",'H(R+S+L)'!AM78="",Moore!AK78=""),"",'H(R+S+L)'!AM78-Moore!AK78)</f>
      </c>
      <c r="AL78" s="343">
        <f>IF(OR('H(R+S+L)'!AN78="N.P.",'H(R+S+L)'!AN78="",Moore!AL78=""),"",'H(R+S+L)'!AN78-Moore!AL78)</f>
      </c>
      <c r="AM78" s="343">
        <f>IF(OR('H(R+S+L)'!AO78="N.P.",'H(R+S+L)'!AO78="",Moore!AM78=""),"",'H(R+S+L)'!AO78-Moore!AM78)</f>
      </c>
      <c r="AN78" s="343">
        <f>IF(OR('H(R+S+L)'!AP78="N.P.",'H(R+S+L)'!AP78="",Moore!AN78=""),"",'H(R+S+L)'!AP78-Moore!AN78)</f>
      </c>
      <c r="AO78" s="343">
        <f>IF(OR('H(R+S+L)'!AQ78="N.P.",'H(R+S+L)'!AQ78="",Moore!AO78=""),"",'H(R+S+L)'!AQ78-Moore!AO78)</f>
      </c>
      <c r="AP78" s="343">
        <f>IF(OR('H(R+S+L)'!AR78="N.P.",'H(R+S+L)'!AR78="",Moore!AP78=""),"",'H(R+S+L)'!AR78-Moore!AP78)</f>
      </c>
      <c r="AQ78" s="343">
        <f>IF(OR('H(R+S+L)'!AS78="N.P.",'H(R+S+L)'!AS78="",Moore!AQ78=""),"",'H(R+S+L)'!AS78-Moore!AQ78)</f>
      </c>
      <c r="AR78" s="343">
        <f>IF(OR('H(R+S+L)'!AT78="N.P.",'H(R+S+L)'!AT78="",Moore!AR78=""),"",'H(R+S+L)'!AT78-Moore!AR78)</f>
      </c>
      <c r="AS78" s="343">
        <f>IF(OR('H(R+S+L)'!AU78="N.P.",'H(R+S+L)'!AU78="",Moore!AS78=""),"",'H(R+S+L)'!AU78-Moore!AS78)</f>
      </c>
      <c r="AT78" s="343">
        <f>IF(OR('H(R+S+L)'!AV78="N.P.",'H(R+S+L)'!AV78="",Moore!AT78=""),"",'H(R+S+L)'!AV78-Moore!AT78)</f>
      </c>
      <c r="AU78" s="344">
        <f>IF(OR('H(R+S+L)'!AW78="N.P.",'H(R+S+L)'!AW78="",Moore!AU78=""),"",'H(R+S+L)'!AW78-Moore!AU78)</f>
      </c>
      <c r="AV78" s="348">
        <f>IF(OR('H(R+S+L)'!AX78="N.P.",'H(R+S+L)'!AX78="",Moore!AV78=""),"",'H(R+S+L)'!AX78-Moore!AV78)</f>
      </c>
      <c r="AW78" s="343">
        <f>IF(OR('H(R+S+L)'!AY78="N.P.",'H(R+S+L)'!AY78="",Moore!AW78=""),"",'H(R+S+L)'!AY78-Moore!AW78)</f>
      </c>
      <c r="AX78" s="343">
        <f>IF(OR('H(R+S+L)'!AZ78="N.P.",'H(R+S+L)'!AZ78="",Moore!AX78=""),"",'H(R+S+L)'!AZ78-Moore!AX78)</f>
      </c>
      <c r="AY78" s="343">
        <f>IF(OR('H(R+S+L)'!BA78="N.P.",'H(R+S+L)'!BA78="",Moore!AY78=""),"",'H(R+S+L)'!BA78-Moore!AY78)</f>
      </c>
      <c r="AZ78" s="343">
        <f>IF(OR('H(R+S+L)'!BB78="N.P.",'H(R+S+L)'!BB78="",Moore!AZ78=""),"",'H(R+S+L)'!BB78-Moore!AZ78)</f>
      </c>
      <c r="BA78" s="343">
        <f>IF(OR('H(R+S+L)'!BC78="N.P.",'H(R+S+L)'!BC78="",Moore!BA78=""),"",'H(R+S+L)'!BC78-Moore!BA78)</f>
      </c>
      <c r="BB78" s="343">
        <f>IF(OR('H(R+S+L)'!BD78="N.P.",'H(R+S+L)'!BD78="",Moore!BB78=""),"",'H(R+S+L)'!BD78-Moore!BB78)</f>
      </c>
      <c r="BC78" s="343">
        <f>IF(OR('H(R+S+L)'!BE78="N.P.",'H(R+S+L)'!BE78="",Moore!BC78=""),"",'H(R+S+L)'!BE78-Moore!BC78)</f>
      </c>
      <c r="BD78" s="343">
        <f>IF(OR('H(R+S+L)'!BF78="N.P.",'H(R+S+L)'!BF78="",Moore!BD78=""),"",'H(R+S+L)'!BF78-Moore!BD78)</f>
      </c>
      <c r="BE78" s="343">
        <f>IF(OR('H(R+S+L)'!BG78="N.P.",'H(R+S+L)'!BG78="",Moore!BE78=""),"",'H(R+S+L)'!BG78-Moore!BE78)</f>
      </c>
      <c r="BF78" s="343">
        <f>IF(OR('H(R+S+L)'!BH78="N.P.",'H(R+S+L)'!BH78="",Moore!BF78=""),"",'H(R+S+L)'!BH78-Moore!BF78)</f>
      </c>
      <c r="BG78" s="343">
        <f>IF(OR('H(R+S+L)'!BI78="N.P.",'H(R+S+L)'!BI78="",Moore!BG78=""),"",'H(R+S+L)'!BI78-Moore!BG78)</f>
      </c>
      <c r="BH78" s="344">
        <f>IF(OR('H(R+S+L)'!BJ78="N.P.",'H(R+S+L)'!BJ78="",Moore!BH78=""),"",'H(R+S+L)'!BJ78-Moore!BH78)</f>
      </c>
    </row>
    <row r="79" ht="13.5" thickTop="1"/>
    <row r="80" ht="12.75">
      <c r="L80" s="698"/>
    </row>
  </sheetData>
  <mergeCells count="19">
    <mergeCell ref="A51:B51"/>
    <mergeCell ref="I12:J13"/>
    <mergeCell ref="H12:H13"/>
    <mergeCell ref="D12:F12"/>
    <mergeCell ref="D13:D14"/>
    <mergeCell ref="E13:E14"/>
    <mergeCell ref="F13:F14"/>
    <mergeCell ref="G12:G13"/>
    <mergeCell ref="C12:C14"/>
    <mergeCell ref="A50:B50"/>
    <mergeCell ref="K9:L9"/>
    <mergeCell ref="G40:G50"/>
    <mergeCell ref="G51:G63"/>
    <mergeCell ref="G64:G78"/>
    <mergeCell ref="G9:J9"/>
    <mergeCell ref="G16:G18"/>
    <mergeCell ref="G19:G23"/>
    <mergeCell ref="G24:G30"/>
    <mergeCell ref="G31:G3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2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5.00390625" style="0" customWidth="1"/>
    <col min="3" max="3" width="17.00390625" style="0" customWidth="1"/>
    <col min="4" max="4" width="15.421875" style="0" customWidth="1"/>
    <col min="5" max="5" width="17.140625" style="0" customWidth="1"/>
    <col min="6" max="6" width="19.421875" style="0" customWidth="1"/>
    <col min="7" max="7" width="15.57421875" style="0" customWidth="1"/>
    <col min="8" max="8" width="14.421875" style="0" customWidth="1"/>
    <col min="9" max="9" width="12.421875" style="0" customWidth="1"/>
    <col min="10" max="10" width="11.8515625" style="0" customWidth="1"/>
    <col min="11" max="11" width="16.421875" style="0" customWidth="1"/>
    <col min="12" max="12" width="13.57421875" style="0" customWidth="1"/>
    <col min="13" max="14" width="11.8515625" style="0" customWidth="1"/>
    <col min="15" max="15" width="15.140625" style="0" customWidth="1"/>
    <col min="16" max="16" width="13.140625" style="0" customWidth="1"/>
    <col min="17" max="17" width="12.00390625" style="0" customWidth="1"/>
    <col min="18" max="18" width="13.28125" style="0" customWidth="1"/>
    <col min="19" max="19" width="12.8515625" style="0" customWidth="1"/>
    <col min="20" max="26" width="11.8515625" style="0" customWidth="1"/>
    <col min="27" max="27" width="11.7109375" style="0" customWidth="1"/>
    <col min="28" max="28" width="11.8515625" style="0" customWidth="1"/>
    <col min="29" max="30" width="12.140625" style="0" customWidth="1"/>
    <col min="31" max="60" width="11.8515625" style="0" customWidth="1"/>
  </cols>
  <sheetData>
    <row r="1" spans="1:60" ht="12.75">
      <c r="A1" s="41" t="s">
        <v>20</v>
      </c>
      <c r="B1" s="22"/>
      <c r="C1" s="23"/>
      <c r="D1" s="23"/>
      <c r="E1" s="23"/>
      <c r="F1" s="42"/>
      <c r="G1" s="43"/>
      <c r="H1" s="44"/>
      <c r="I1" s="45"/>
      <c r="J1" s="45"/>
      <c r="K1" s="45"/>
      <c r="L1" s="45"/>
      <c r="M1" s="45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1:60" ht="15.75">
      <c r="A2" s="47" t="s">
        <v>49</v>
      </c>
      <c r="B2" s="48"/>
      <c r="C2" s="29"/>
      <c r="D2" s="29"/>
      <c r="E2" s="106"/>
      <c r="F2" s="49"/>
      <c r="G2" s="50" t="s">
        <v>21</v>
      </c>
      <c r="H2" s="51" t="s">
        <v>22</v>
      </c>
      <c r="I2" s="46"/>
      <c r="J2" s="46"/>
      <c r="K2" s="777" t="s">
        <v>123</v>
      </c>
      <c r="L2" s="778"/>
      <c r="M2" s="840">
        <f>(M4*C8*B30^2)/(2*C5)</f>
        <v>109737.31602436352</v>
      </c>
      <c r="N2" s="715"/>
      <c r="O2" s="38"/>
      <c r="P2" s="810" t="s">
        <v>178</v>
      </c>
      <c r="Q2" s="811"/>
      <c r="R2" s="812"/>
      <c r="S2" s="813" t="s">
        <v>177</v>
      </c>
      <c r="T2" s="814"/>
      <c r="U2" s="814"/>
      <c r="V2" s="815"/>
      <c r="W2" s="44"/>
      <c r="X2" s="10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</row>
    <row r="3" spans="1:60" ht="14.25">
      <c r="A3" s="52" t="s">
        <v>50</v>
      </c>
      <c r="B3" s="26"/>
      <c r="C3" s="27"/>
      <c r="D3" s="27"/>
      <c r="E3" s="27"/>
      <c r="F3" s="32"/>
      <c r="G3" s="53"/>
      <c r="H3" s="44"/>
      <c r="I3" s="44"/>
      <c r="J3" s="1"/>
      <c r="K3" s="54" t="s">
        <v>34</v>
      </c>
      <c r="L3" s="236" t="s">
        <v>70</v>
      </c>
      <c r="M3" s="712">
        <v>1.672621E-24</v>
      </c>
      <c r="N3" s="713"/>
      <c r="O3" s="25"/>
      <c r="P3" s="804" t="s">
        <v>52</v>
      </c>
      <c r="Q3" s="805"/>
      <c r="R3" s="806"/>
      <c r="S3" s="559" t="s">
        <v>130</v>
      </c>
      <c r="T3" s="816" t="s">
        <v>165</v>
      </c>
      <c r="U3" s="817"/>
      <c r="V3" s="817"/>
      <c r="W3" s="44"/>
      <c r="X3" s="107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14.25">
      <c r="A4" s="706" t="s">
        <v>151</v>
      </c>
      <c r="B4" s="693"/>
      <c r="C4" s="693"/>
      <c r="D4" s="693"/>
      <c r="E4" s="693"/>
      <c r="F4" s="707"/>
      <c r="G4" s="58"/>
      <c r="H4" s="59"/>
      <c r="I4" s="59"/>
      <c r="J4" s="44"/>
      <c r="K4" s="108" t="s">
        <v>35</v>
      </c>
      <c r="L4" s="236" t="s">
        <v>71</v>
      </c>
      <c r="M4" s="724">
        <v>9.1093826E-28</v>
      </c>
      <c r="N4" s="725"/>
      <c r="O4" s="25"/>
      <c r="P4" s="821" t="s">
        <v>149</v>
      </c>
      <c r="Q4" s="822"/>
      <c r="R4" s="823"/>
      <c r="S4" s="532"/>
      <c r="T4" s="818" t="s">
        <v>166</v>
      </c>
      <c r="U4" s="819"/>
      <c r="V4" s="820"/>
      <c r="W4" s="44"/>
      <c r="X4" s="107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1:60" ht="14.25">
      <c r="A5" s="703" t="s">
        <v>23</v>
      </c>
      <c r="B5" s="238" t="s">
        <v>6</v>
      </c>
      <c r="C5" s="12">
        <v>6.6260693E-27</v>
      </c>
      <c r="D5" s="55" t="s">
        <v>24</v>
      </c>
      <c r="E5" s="109"/>
      <c r="F5" s="46"/>
      <c r="G5" s="59"/>
      <c r="H5" s="59"/>
      <c r="I5" s="64"/>
      <c r="J5" s="59"/>
      <c r="K5" s="100" t="s">
        <v>51</v>
      </c>
      <c r="L5" s="352" t="s">
        <v>92</v>
      </c>
      <c r="M5" s="773">
        <v>8.75E-14</v>
      </c>
      <c r="N5" s="773"/>
      <c r="O5" s="110"/>
      <c r="P5" s="807" t="s">
        <v>150</v>
      </c>
      <c r="Q5" s="808"/>
      <c r="R5" s="809"/>
      <c r="S5" s="533"/>
      <c r="T5" s="818" t="s">
        <v>167</v>
      </c>
      <c r="U5" s="819"/>
      <c r="V5" s="820"/>
      <c r="W5" s="44"/>
      <c r="X5" s="107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1:60" ht="15.75">
      <c r="A6" s="704"/>
      <c r="B6" s="239" t="s">
        <v>121</v>
      </c>
      <c r="C6" s="13">
        <f>H6/C8</f>
        <v>109677.58371963068</v>
      </c>
      <c r="D6" s="60" t="s">
        <v>122</v>
      </c>
      <c r="E6" s="111"/>
      <c r="F6" s="830" t="s">
        <v>120</v>
      </c>
      <c r="G6" s="831"/>
      <c r="H6" s="768">
        <f>$C8*$M2*$M3/($M3+$M4)</f>
        <v>3288051241080886.5</v>
      </c>
      <c r="I6" s="769"/>
      <c r="J6" s="112"/>
      <c r="K6" s="118" t="s">
        <v>68</v>
      </c>
      <c r="L6" s="237" t="s">
        <v>69</v>
      </c>
      <c r="M6" s="768">
        <f>M3*M4/(M3+M4)</f>
        <v>9.104424173485626E-28</v>
      </c>
      <c r="N6" s="769"/>
      <c r="O6" s="46"/>
      <c r="P6" s="827" t="s">
        <v>170</v>
      </c>
      <c r="Q6" s="828"/>
      <c r="R6" s="829"/>
      <c r="W6" s="44"/>
      <c r="X6" s="107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</row>
    <row r="7" spans="1:60" ht="13.5">
      <c r="A7" s="704"/>
      <c r="B7" s="239" t="s">
        <v>25</v>
      </c>
      <c r="C7" s="16">
        <v>1</v>
      </c>
      <c r="D7" s="61" t="s">
        <v>26</v>
      </c>
      <c r="E7" s="113"/>
      <c r="F7" s="114"/>
      <c r="G7" s="59"/>
      <c r="H7" s="59"/>
      <c r="I7" s="56"/>
      <c r="J7" s="59"/>
      <c r="K7" s="46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</row>
    <row r="8" spans="1:60" ht="12.75" customHeight="1">
      <c r="A8" s="704"/>
      <c r="B8" s="239" t="s">
        <v>27</v>
      </c>
      <c r="C8" s="17">
        <v>29979245800</v>
      </c>
      <c r="D8" s="61" t="s">
        <v>53</v>
      </c>
      <c r="E8" s="115"/>
      <c r="F8" s="116"/>
      <c r="G8" s="46"/>
      <c r="H8" s="46"/>
      <c r="I8" s="46"/>
      <c r="J8" s="46"/>
      <c r="K8" s="46"/>
      <c r="L8" s="843" t="s">
        <v>168</v>
      </c>
      <c r="M8" s="694"/>
      <c r="N8" s="726"/>
      <c r="O8" s="118" t="s">
        <v>98</v>
      </c>
      <c r="P8" s="118" t="s">
        <v>99</v>
      </c>
      <c r="Q8" s="118" t="s">
        <v>100</v>
      </c>
      <c r="R8" s="118" t="s">
        <v>101</v>
      </c>
      <c r="S8" s="118" t="s">
        <v>102</v>
      </c>
      <c r="T8" s="400" t="s">
        <v>103</v>
      </c>
      <c r="U8" s="416" t="s">
        <v>104</v>
      </c>
      <c r="V8" s="400" t="s">
        <v>105</v>
      </c>
      <c r="W8" s="400" t="s">
        <v>106</v>
      </c>
      <c r="X8" s="100" t="s">
        <v>107</v>
      </c>
      <c r="Y8" s="100" t="s">
        <v>108</v>
      </c>
      <c r="Z8" s="100" t="s">
        <v>109</v>
      </c>
      <c r="AA8" s="417" t="s">
        <v>110</v>
      </c>
      <c r="AB8" s="417" t="s">
        <v>111</v>
      </c>
      <c r="AC8" s="100" t="s">
        <v>112</v>
      </c>
      <c r="AD8" s="100" t="s">
        <v>113</v>
      </c>
      <c r="AE8" s="100" t="s">
        <v>114</v>
      </c>
      <c r="AF8" s="100" t="s">
        <v>115</v>
      </c>
      <c r="AG8" s="100" t="s">
        <v>116</v>
      </c>
      <c r="AH8" s="100" t="s">
        <v>117</v>
      </c>
      <c r="AI8" s="100" t="s">
        <v>118</v>
      </c>
      <c r="AJ8" s="100" t="s">
        <v>119</v>
      </c>
      <c r="AK8" s="44"/>
      <c r="AL8" s="44"/>
      <c r="AM8" s="44"/>
      <c r="AN8" s="44"/>
      <c r="AO8" s="44"/>
      <c r="AP8" s="44"/>
      <c r="AQ8" s="44"/>
      <c r="AR8" s="44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</row>
    <row r="9" spans="1:60" ht="12.75" customHeight="1">
      <c r="A9" s="704"/>
      <c r="B9" s="239" t="s">
        <v>29</v>
      </c>
      <c r="C9" s="18">
        <v>100000000</v>
      </c>
      <c r="D9" s="61" t="s">
        <v>30</v>
      </c>
      <c r="E9" s="117"/>
      <c r="F9" s="48"/>
      <c r="G9" s="767" t="s">
        <v>55</v>
      </c>
      <c r="H9" s="767"/>
      <c r="I9" s="407">
        <f>(H21-H19)/8065.541*241798840000000/1000000</f>
        <v>1057.7730141810557</v>
      </c>
      <c r="J9" s="118" t="s">
        <v>56</v>
      </c>
      <c r="K9" s="46"/>
      <c r="L9" s="843" t="s">
        <v>95</v>
      </c>
      <c r="M9" s="694"/>
      <c r="N9" s="726"/>
      <c r="O9" s="415">
        <v>3889</v>
      </c>
      <c r="P9" s="415">
        <v>3970</v>
      </c>
      <c r="Q9" s="415">
        <v>4101</v>
      </c>
      <c r="R9" s="415">
        <v>4340</v>
      </c>
      <c r="S9" s="415">
        <v>4861</v>
      </c>
      <c r="T9" s="415">
        <v>6562</v>
      </c>
      <c r="U9" s="415">
        <v>9545</v>
      </c>
      <c r="V9" s="415">
        <v>10049</v>
      </c>
      <c r="W9" s="415">
        <v>10938</v>
      </c>
      <c r="X9" s="415">
        <v>12817</v>
      </c>
      <c r="Y9" s="415">
        <v>18751</v>
      </c>
      <c r="Z9" s="415">
        <v>19445</v>
      </c>
      <c r="AA9" s="415">
        <v>21654</v>
      </c>
      <c r="AB9" s="415">
        <v>26251</v>
      </c>
      <c r="AC9" s="415">
        <v>37395</v>
      </c>
      <c r="AD9" s="415">
        <v>40510</v>
      </c>
      <c r="AE9" s="415">
        <v>46525</v>
      </c>
      <c r="AF9" s="415">
        <v>74577</v>
      </c>
      <c r="AG9" s="415">
        <v>75003</v>
      </c>
      <c r="AH9" s="415">
        <v>123682</v>
      </c>
      <c r="AI9" s="415">
        <v>190568</v>
      </c>
      <c r="AJ9" s="400" t="s">
        <v>176</v>
      </c>
      <c r="AK9" s="44"/>
      <c r="AL9" s="44"/>
      <c r="AM9" s="44"/>
      <c r="AN9" s="44"/>
      <c r="AO9" s="44"/>
      <c r="AP9" s="44"/>
      <c r="AQ9" s="44"/>
      <c r="AR9" s="44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</row>
    <row r="10" spans="1:60" ht="14.25" customHeight="1">
      <c r="A10" s="705"/>
      <c r="B10" s="240" t="s">
        <v>31</v>
      </c>
      <c r="C10" s="19">
        <f>0.0000000000000000000160217653*C8</f>
        <v>4.803204400786107E-10</v>
      </c>
      <c r="D10" s="621" t="s">
        <v>44</v>
      </c>
      <c r="E10" s="622"/>
      <c r="F10" s="402"/>
      <c r="G10" s="848" t="s">
        <v>125</v>
      </c>
      <c r="H10" s="848"/>
      <c r="I10" s="470">
        <f>C8/(1420.4057517667*1000000)</f>
        <v>21.106114054179116</v>
      </c>
      <c r="J10" s="118" t="s">
        <v>124</v>
      </c>
      <c r="K10" s="46"/>
      <c r="L10" s="844" t="s">
        <v>169</v>
      </c>
      <c r="M10" s="845"/>
      <c r="N10" s="846"/>
      <c r="O10" s="404">
        <v>1.0002833738195605</v>
      </c>
      <c r="P10" s="14">
        <v>1.0002829122370658</v>
      </c>
      <c r="Q10" s="14">
        <v>1.0002822238116587</v>
      </c>
      <c r="R10" s="14">
        <v>1.0002811430487302</v>
      </c>
      <c r="S10" s="14">
        <v>1.0002793426566505</v>
      </c>
      <c r="T10" s="14">
        <v>1.0002762358405997</v>
      </c>
      <c r="U10" s="14">
        <v>1.0002742991847757</v>
      </c>
      <c r="V10" s="14">
        <v>1.0002741326980036</v>
      </c>
      <c r="W10" s="405">
        <v>1.0002738915344123</v>
      </c>
      <c r="X10" s="405">
        <v>1.000273537699278</v>
      </c>
      <c r="Y10" s="405">
        <v>1.0002730366043622</v>
      </c>
      <c r="Z10" s="405">
        <v>1.0002730063768805</v>
      </c>
      <c r="AA10" s="405">
        <v>1.0002729270443995</v>
      </c>
      <c r="AB10" s="405">
        <v>1.0002728232178235</v>
      </c>
      <c r="AC10" s="405">
        <v>1.0002727071339257</v>
      </c>
      <c r="AD10" s="405">
        <v>1.0002726918229274</v>
      </c>
      <c r="AE10" s="405">
        <v>1.0002726693814967</v>
      </c>
      <c r="AF10" s="405">
        <v>1.000272628349397</v>
      </c>
      <c r="AG10" s="405">
        <v>1.0002726288642982</v>
      </c>
      <c r="AH10" s="404">
        <v>1.0002726057440399</v>
      </c>
      <c r="AI10" s="404">
        <v>1.0002726072891703</v>
      </c>
      <c r="AJ10" s="401">
        <v>1.00027252629911</v>
      </c>
      <c r="AK10" s="497"/>
      <c r="AL10" s="44"/>
      <c r="AM10" s="44"/>
      <c r="AN10" s="44"/>
      <c r="AO10" s="44"/>
      <c r="AP10" s="44"/>
      <c r="AQ10" s="44"/>
      <c r="AR10" s="44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1:36" ht="16.5" customHeight="1" thickBot="1">
      <c r="A11" s="59"/>
      <c r="B11" s="59"/>
      <c r="D11" s="581" t="s">
        <v>155</v>
      </c>
      <c r="E11" s="581">
        <f ca="1">NOW()</f>
        <v>40996.49789259259</v>
      </c>
      <c r="F11" s="580"/>
      <c r="G11" s="48"/>
      <c r="H11" s="293"/>
      <c r="I11" s="224"/>
      <c r="J11" s="224"/>
      <c r="K11" s="224"/>
      <c r="L11" s="224"/>
      <c r="M11" s="224"/>
      <c r="AC11" s="224"/>
      <c r="AD11" s="224"/>
      <c r="AE11" s="224"/>
      <c r="AF11" s="224"/>
      <c r="AG11" s="224"/>
      <c r="AH11" s="224"/>
      <c r="AI11" s="8"/>
      <c r="AJ11" s="8"/>
    </row>
    <row r="12" spans="1:35" ht="13.5" customHeight="1" thickTop="1">
      <c r="A12" s="65" t="s">
        <v>36</v>
      </c>
      <c r="B12" s="462" t="s">
        <v>45</v>
      </c>
      <c r="C12" s="779" t="s">
        <v>154</v>
      </c>
      <c r="D12" s="757" t="s">
        <v>58</v>
      </c>
      <c r="E12" s="758"/>
      <c r="F12" s="759"/>
      <c r="G12" s="733" t="s">
        <v>81</v>
      </c>
      <c r="H12" s="832"/>
      <c r="I12" s="834" t="s">
        <v>163</v>
      </c>
      <c r="J12" s="835"/>
      <c r="K12" s="835"/>
      <c r="L12" s="835"/>
      <c r="M12" s="836"/>
      <c r="N12" s="596" t="s">
        <v>83</v>
      </c>
      <c r="O12" s="594">
        <v>1</v>
      </c>
      <c r="P12" s="443">
        <v>1</v>
      </c>
      <c r="Q12" s="443">
        <v>1</v>
      </c>
      <c r="R12" s="120">
        <v>1</v>
      </c>
      <c r="S12" s="510">
        <v>2</v>
      </c>
      <c r="T12" s="424">
        <v>2</v>
      </c>
      <c r="U12" s="424">
        <v>2</v>
      </c>
      <c r="V12" s="613">
        <v>2</v>
      </c>
      <c r="W12" s="424">
        <v>2</v>
      </c>
      <c r="X12" s="444">
        <v>2</v>
      </c>
      <c r="Y12" s="413">
        <v>3</v>
      </c>
      <c r="Z12" s="424">
        <v>3</v>
      </c>
      <c r="AA12" s="424">
        <v>3</v>
      </c>
      <c r="AB12" s="424">
        <v>3</v>
      </c>
      <c r="AC12" s="424">
        <v>3</v>
      </c>
      <c r="AD12" s="424">
        <v>3</v>
      </c>
      <c r="AE12" s="424">
        <v>3</v>
      </c>
      <c r="AF12" s="424">
        <v>3</v>
      </c>
      <c r="AG12" s="424">
        <v>3</v>
      </c>
      <c r="AH12" s="444">
        <v>3</v>
      </c>
      <c r="AI12" s="558"/>
    </row>
    <row r="13" spans="1:35" ht="17.25" customHeight="1">
      <c r="A13" s="69" t="s">
        <v>37</v>
      </c>
      <c r="B13" s="88" t="s">
        <v>37</v>
      </c>
      <c r="C13" s="847"/>
      <c r="D13" s="760" t="s">
        <v>80</v>
      </c>
      <c r="E13" s="762" t="s">
        <v>79</v>
      </c>
      <c r="F13" s="747" t="s">
        <v>60</v>
      </c>
      <c r="G13" s="735"/>
      <c r="H13" s="833"/>
      <c r="I13" s="837"/>
      <c r="J13" s="838"/>
      <c r="K13" s="838"/>
      <c r="L13" s="838"/>
      <c r="M13" s="839"/>
      <c r="N13" s="597" t="s">
        <v>82</v>
      </c>
      <c r="O13" s="520">
        <v>0.5</v>
      </c>
      <c r="P13" s="412">
        <v>1.5</v>
      </c>
      <c r="Q13" s="412">
        <v>1.5</v>
      </c>
      <c r="R13" s="121">
        <v>0.5</v>
      </c>
      <c r="S13" s="511">
        <v>1.5</v>
      </c>
      <c r="T13" s="39">
        <v>1.5</v>
      </c>
      <c r="U13" s="39">
        <v>0.5</v>
      </c>
      <c r="V13" s="30">
        <v>0.5</v>
      </c>
      <c r="W13" s="39">
        <v>1.5</v>
      </c>
      <c r="X13" s="122">
        <v>1.5</v>
      </c>
      <c r="Y13" s="31">
        <v>1.5</v>
      </c>
      <c r="Z13" s="31">
        <v>1.5</v>
      </c>
      <c r="AA13" s="31">
        <v>0.5</v>
      </c>
      <c r="AB13" s="31">
        <v>0.5</v>
      </c>
      <c r="AC13" s="34">
        <v>2.5</v>
      </c>
      <c r="AD13" s="31">
        <v>2.5</v>
      </c>
      <c r="AE13" s="39">
        <v>1.5</v>
      </c>
      <c r="AF13" s="15">
        <v>1.5</v>
      </c>
      <c r="AG13" s="39">
        <v>2.5</v>
      </c>
      <c r="AH13" s="427">
        <v>2.5</v>
      </c>
      <c r="AI13" s="558"/>
    </row>
    <row r="14" spans="1:35" ht="18" customHeight="1">
      <c r="A14" s="289" t="s">
        <v>3</v>
      </c>
      <c r="B14" s="463" t="s">
        <v>38</v>
      </c>
      <c r="C14" s="780"/>
      <c r="D14" s="761"/>
      <c r="E14" s="763"/>
      <c r="F14" s="748"/>
      <c r="G14" s="283" t="s">
        <v>1</v>
      </c>
      <c r="H14" s="5" t="s">
        <v>2</v>
      </c>
      <c r="I14" s="591" t="s">
        <v>3</v>
      </c>
      <c r="J14" s="290" t="s">
        <v>82</v>
      </c>
      <c r="K14" s="620" t="s">
        <v>140</v>
      </c>
      <c r="L14" s="592" t="s">
        <v>141</v>
      </c>
      <c r="M14" s="593" t="s">
        <v>164</v>
      </c>
      <c r="N14" s="598"/>
      <c r="O14" s="126" t="s">
        <v>7</v>
      </c>
      <c r="P14" s="75" t="s">
        <v>126</v>
      </c>
      <c r="Q14" s="75" t="s">
        <v>127</v>
      </c>
      <c r="R14" s="414" t="s">
        <v>179</v>
      </c>
      <c r="S14" s="512" t="s">
        <v>9</v>
      </c>
      <c r="T14" s="127" t="s">
        <v>132</v>
      </c>
      <c r="U14" s="127" t="s">
        <v>7</v>
      </c>
      <c r="V14" s="614" t="s">
        <v>133</v>
      </c>
      <c r="W14" s="127" t="s">
        <v>8</v>
      </c>
      <c r="X14" s="66" t="s">
        <v>161</v>
      </c>
      <c r="Y14" s="512" t="s">
        <v>9</v>
      </c>
      <c r="Z14" s="127" t="s">
        <v>132</v>
      </c>
      <c r="AA14" s="127" t="s">
        <v>7</v>
      </c>
      <c r="AB14" s="127" t="s">
        <v>133</v>
      </c>
      <c r="AC14" s="131" t="s">
        <v>11</v>
      </c>
      <c r="AD14" s="582" t="s">
        <v>134</v>
      </c>
      <c r="AE14" s="127" t="s">
        <v>8</v>
      </c>
      <c r="AF14" s="75" t="s">
        <v>129</v>
      </c>
      <c r="AG14" s="127" t="s">
        <v>10</v>
      </c>
      <c r="AH14" s="280" t="s">
        <v>162</v>
      </c>
      <c r="AI14" s="558"/>
    </row>
    <row r="15" spans="1:35" ht="12.75">
      <c r="A15" s="73">
        <v>1</v>
      </c>
      <c r="B15" s="418">
        <v>0.5</v>
      </c>
      <c r="C15" s="468">
        <f>-(H15-H16)</f>
        <v>0.02748820413469971</v>
      </c>
      <c r="D15" s="409">
        <v>1.3589E-11</v>
      </c>
      <c r="E15" s="193">
        <f>(((3.1415926535*(5/3)^(1/2)*M4*D15*C8)/C5)^2*A15)/(B15+A27)^3</f>
        <v>0.05159775866586123</v>
      </c>
      <c r="F15" s="194">
        <f>(((C5*C8*M4)/(8^(1/2)*3.1415926535*C10^2*C7*M3))^2)*(A15^3/(B15+A27))</f>
        <v>0.0027849803998790104</v>
      </c>
      <c r="G15" s="490">
        <f>-($C$5*$H$6*$C$7^2/A15^2)*(1+($B$30^2*$C$7^2/A15^2)*(A15/(B15)-(M4/M6)*(1-A48*M4/M3)*A15*A27/((B15+A27)*B15)+2*M4^2/(M3*M6)*A48*B48*(A15*A27*A44/(B15*(B15+A27)^2))-0.75-E15-F15))</f>
        <v>-2.1787089393359614E-11</v>
      </c>
      <c r="H15" s="408">
        <v>0</v>
      </c>
      <c r="I15" s="79">
        <v>1</v>
      </c>
      <c r="J15" s="76">
        <v>0.5</v>
      </c>
      <c r="K15" s="515">
        <v>0.5</v>
      </c>
      <c r="L15" s="515">
        <v>0.5</v>
      </c>
      <c r="M15" s="588">
        <f>J15+K15+L15</f>
        <v>1.5</v>
      </c>
      <c r="N15" s="599" t="s">
        <v>7</v>
      </c>
      <c r="O15" s="595"/>
      <c r="P15" s="420"/>
      <c r="Q15" s="420"/>
      <c r="R15" s="421"/>
      <c r="S15" s="513"/>
      <c r="T15" s="77"/>
      <c r="U15" s="76"/>
      <c r="V15" s="462"/>
      <c r="W15" s="77"/>
      <c r="X15" s="136"/>
      <c r="Y15" s="513"/>
      <c r="Z15" s="77"/>
      <c r="AA15" s="77"/>
      <c r="AB15" s="77"/>
      <c r="AC15" s="77"/>
      <c r="AD15" s="77"/>
      <c r="AE15" s="77"/>
      <c r="AF15" s="534"/>
      <c r="AG15" s="77"/>
      <c r="AH15" s="535"/>
      <c r="AI15" s="555"/>
    </row>
    <row r="16" spans="1:35" ht="14.25">
      <c r="A16" s="73">
        <v>2</v>
      </c>
      <c r="B16" s="419">
        <v>1.5</v>
      </c>
      <c r="C16" s="468">
        <f aca="true" t="shared" si="0" ref="C16:C23">-(H16-H17)</f>
        <v>0.01987852208923226</v>
      </c>
      <c r="D16" s="449">
        <v>1.358E-11</v>
      </c>
      <c r="E16" s="450">
        <f>(((3.1415926535*(5/3)^(1/2)*M4*D15*C8)/C5)^2*A15)/(B15+A27)^3</f>
        <v>0.05159775866586123</v>
      </c>
      <c r="F16" s="451">
        <f>(((C5*C8*M4)/(8^(1/2)*3.1415926535*C10^2*C7*M3))^2)*(A15^3/(B15+A27))</f>
        <v>0.0027849803998790104</v>
      </c>
      <c r="G16" s="491">
        <f>-($C$5*$H$6*$C$7^2/A15^2)*(1+($B$30^2*$C$7^2/A15^2)*(A15/(B15+1)-(M4/M6)*(1-A48*M4/M3)*A15*A28/((B15+1+A28)*(B15+1))+2*M4^2/(M3*M6)*A48*B48*(A15*A28*A45/((B15+1)*(B15+1+A28)^2))-0.75-E16-F16))</f>
        <v>-2.1787083932975057E-11</v>
      </c>
      <c r="H16" s="452">
        <f aca="true" t="shared" si="1" ref="H16:H24">((G16-$G$15)*624150948000)*8065.541</f>
        <v>0.02748820413469971</v>
      </c>
      <c r="I16" s="453">
        <v>1</v>
      </c>
      <c r="J16" s="454">
        <v>1.5</v>
      </c>
      <c r="K16" s="454">
        <v>-0.5</v>
      </c>
      <c r="L16" s="454">
        <v>-0.5</v>
      </c>
      <c r="M16" s="589">
        <f aca="true" t="shared" si="2" ref="M16:M34">J16+K16+L16</f>
        <v>0.5</v>
      </c>
      <c r="N16" s="600" t="s">
        <v>146</v>
      </c>
      <c r="O16" s="608" t="str">
        <f>IF(OR(M$15-M16&gt;1,M$15-M16&lt;-1),"N.P.",IF(AND($J$15-$J16=-1,$K$15-$K16=1,$L$15-$L16=0),-$C$8*$C$5/($G$15-$G16)/$AJ$10,"N.P."))</f>
        <v>N.P.</v>
      </c>
      <c r="P16" s="456"/>
      <c r="Q16" s="448"/>
      <c r="R16" s="455"/>
      <c r="S16" s="514"/>
      <c r="T16" s="80"/>
      <c r="U16" s="83"/>
      <c r="V16" s="84"/>
      <c r="W16" s="80"/>
      <c r="X16" s="143"/>
      <c r="Y16" s="514"/>
      <c r="Z16" s="80"/>
      <c r="AA16" s="80"/>
      <c r="AB16" s="80"/>
      <c r="AC16" s="80"/>
      <c r="AD16" s="80"/>
      <c r="AE16" s="80"/>
      <c r="AF16" s="536"/>
      <c r="AG16" s="80"/>
      <c r="AH16" s="537"/>
      <c r="AI16" s="554"/>
    </row>
    <row r="17" spans="1:36" ht="14.25">
      <c r="A17" s="73">
        <v>3</v>
      </c>
      <c r="B17" s="419">
        <v>2.5</v>
      </c>
      <c r="C17" s="468">
        <f t="shared" si="0"/>
        <v>0.012268839978700381</v>
      </c>
      <c r="D17" s="449">
        <v>1.358E-11</v>
      </c>
      <c r="E17" s="450">
        <f>(((3.1415926535*(5/3)^(1/2)*M4*D15*C8)/C5)^2*A15)/(B15+1+A28)^3</f>
        <v>0.05159775866586123</v>
      </c>
      <c r="F17" s="451">
        <f>(((C5*C8*M4)/(8^(1/2)*3.1415926535*C10^2*C7*M3))^2)*(A15^3/(B15+1+A28))</f>
        <v>0.0027849803998790104</v>
      </c>
      <c r="G17" s="491">
        <f>-($C$5*$H$6*$C$7^2/A15^2)*(1+($B$30^2*$C$7^2/A15^2)*(A15/(B15+1)-(M4/M6)*(1-A48*M4/M3)*A15*A28/((B15+1+A28)*(B15+1))+2*M4^2/(M3*M6)*A48*B48*(A15*A28*A44/((B15+1)*(B15+1+A28)^2))-0.75-E17-F17))</f>
        <v>-2.178707998421309E-11</v>
      </c>
      <c r="H17" s="452">
        <f t="shared" si="1"/>
        <v>0.04736672622393197</v>
      </c>
      <c r="I17" s="453">
        <v>1</v>
      </c>
      <c r="J17" s="454">
        <v>1.5</v>
      </c>
      <c r="K17" s="454">
        <v>-0.5</v>
      </c>
      <c r="L17" s="516">
        <v>0.5</v>
      </c>
      <c r="M17" s="589">
        <f t="shared" si="2"/>
        <v>1.5</v>
      </c>
      <c r="N17" s="600" t="s">
        <v>147</v>
      </c>
      <c r="O17" s="609">
        <f>IF(OR(M$15-M17&gt;1,M$15-M17&lt;-1),"N.P.",IF(AND($J$15-$J17=-1,$K$15-$K17=1,$L$15-$L17=0),-$C$8*$C$5/($G$15-$G17)/$AJ$10,"N.P."))</f>
        <v>21.106105493757138</v>
      </c>
      <c r="P17" s="531" t="str">
        <f>IF(OR(M$16-M17&gt;1,M$16-M17&lt;-1),"N.P.",IF(AND($J$16-$J$17=-1,$K$16-$K$17=1,$L$16-$L$17=0),-$C$8*$C$5/($G$16-$G$17)/$AJ$10,"N.P."))</f>
        <v>N.P.</v>
      </c>
      <c r="Q17" s="456"/>
      <c r="R17" s="455"/>
      <c r="S17" s="514"/>
      <c r="T17" s="80"/>
      <c r="U17" s="422"/>
      <c r="V17" s="615"/>
      <c r="W17" s="80"/>
      <c r="X17" s="143"/>
      <c r="Y17" s="514"/>
      <c r="Z17" s="80"/>
      <c r="AA17" s="80"/>
      <c r="AB17" s="80"/>
      <c r="AC17" s="80"/>
      <c r="AD17" s="80"/>
      <c r="AE17" s="80"/>
      <c r="AF17" s="536"/>
      <c r="AG17" s="80"/>
      <c r="AH17" s="537"/>
      <c r="AI17" s="554"/>
      <c r="AJ17" s="426"/>
    </row>
    <row r="18" spans="1:36" ht="15" thickBot="1">
      <c r="A18" s="73">
        <v>4</v>
      </c>
      <c r="B18" s="419">
        <v>3.5</v>
      </c>
      <c r="C18" s="503"/>
      <c r="D18" s="457">
        <v>1.358E-11</v>
      </c>
      <c r="E18" s="504">
        <f>(((3.1415926535*(5/3)^(1/2)*M4*D15*C8)/C5)^2*A15)/(B15+A27)^3</f>
        <v>0.05159775866586123</v>
      </c>
      <c r="F18" s="624">
        <f>(((C5*C8*M4)/(8^(1/2)*3.1415926535*C10^2*C7*M3))^2)*(A15^3/(B15+A27))</f>
        <v>0.0027849803998790104</v>
      </c>
      <c r="G18" s="496">
        <f>-($C$5*$H$6*$C$7^2/A15^2)*(1+($B$30^2*$C$7^2/A15^2)*(A15/(B15)-(M4/M6)*(1-A48*M4/M3)*A15*A27/((B15+A27)*B15)+2*M4^2/(M3*M6)*A48*B48*(A15*A27*A45/(B15*(B15+A27)^2))-0.75-E18-F18))</f>
        <v>-2.1787077547073727E-11</v>
      </c>
      <c r="H18" s="625">
        <f t="shared" si="1"/>
        <v>0.05963556620263235</v>
      </c>
      <c r="I18" s="460">
        <v>1</v>
      </c>
      <c r="J18" s="461">
        <v>0.5</v>
      </c>
      <c r="K18" s="517">
        <v>0.5</v>
      </c>
      <c r="L18" s="523">
        <v>-0.5</v>
      </c>
      <c r="M18" s="590">
        <f t="shared" si="2"/>
        <v>0.5</v>
      </c>
      <c r="N18" s="603" t="s">
        <v>148</v>
      </c>
      <c r="O18" s="610" t="str">
        <f>IF(OR(M$15-M18&gt;1,M$15-M18&lt;-1),"N.P.",IF(AND($J$15-$J18=-1,$K$15-$K18=1,$L$15-$L18=0),-$C$8*$C$5/($G$15-$G18)/$AJ$10,"N.P."))</f>
        <v>N.P.</v>
      </c>
      <c r="P18" s="626" t="str">
        <f>IF(OR(M$16-M18&gt;1,M$16-M18&lt;-1),"N.P.",IF(AND($J$16-$J$17=-1,$K$16-$K$17=1,$L$16-$L$17=0),-$C$8*$C$5/($G$16-$G$17)/$AJ$10,"N.P."))</f>
        <v>N.P.</v>
      </c>
      <c r="Q18" s="627" t="str">
        <f>IF(OR(M17-M18&gt;1,M17-M18&lt;-1),"N.P.",IF(AND($J$17-$J$18=-1,$K$17-$K$18=1,$L$17-$L$18=0,$K$17=$L$17),-$C$8*$C$5/($G$17-$G$18)/$AJ$10,"N.P."))</f>
        <v>N.P.</v>
      </c>
      <c r="R18" s="628"/>
      <c r="S18" s="82"/>
      <c r="T18" s="83"/>
      <c r="U18" s="83"/>
      <c r="V18" s="84"/>
      <c r="W18" s="83"/>
      <c r="X18" s="423"/>
      <c r="Y18" s="514"/>
      <c r="Z18" s="80"/>
      <c r="AA18" s="80"/>
      <c r="AB18" s="80"/>
      <c r="AC18" s="80"/>
      <c r="AD18" s="80"/>
      <c r="AE18" s="80"/>
      <c r="AF18" s="536"/>
      <c r="AG18" s="80"/>
      <c r="AH18" s="537"/>
      <c r="AI18" s="554"/>
      <c r="AJ18" s="426"/>
    </row>
    <row r="19" spans="1:36" ht="13.5" thickTop="1">
      <c r="A19" s="73">
        <v>5</v>
      </c>
      <c r="B19" s="419">
        <v>4.5</v>
      </c>
      <c r="C19" s="468">
        <f t="shared" si="0"/>
        <v>0.0024848152534104884</v>
      </c>
      <c r="D19" s="378">
        <v>3.5E-13</v>
      </c>
      <c r="E19" s="138">
        <f>(((3.1415926535*(5/3)^(1/2)*M$4*D$19*C$8)/C$5)^2*A$16)/(B$16+A$28)^3</f>
        <v>6.845764011507341E-05</v>
      </c>
      <c r="F19" s="379">
        <f>(((C$5*C$8*M$4)/(8^(1/2)*3.1415926535*C$10^2*C$7*M$3))^2)*(A$16^3/(B$16+A$28))</f>
        <v>0.022279843199032083</v>
      </c>
      <c r="G19" s="493">
        <f>-($C$5*$H$6*$C$7^2/$A$16^2)*(1+($B$30^2*$C$7^2/$A$16^2)*($A$16/($B$16)-($M$4/$M$6)*(1-$A$48*$M$4/$M$3)*$A$16*$A$28/(($B$16+$A$28)*$B$16)+2*$M$4^2/($M$3*$M$6)*$A$48*$B$48*($A$16*$A$28*$A$45/($B$16*($B$16+$A$28)^2))-0.75-$E$19-$F$19))</f>
        <v>-5.446803064422792E-12</v>
      </c>
      <c r="H19" s="623">
        <f t="shared" si="1"/>
        <v>82258.8815141754</v>
      </c>
      <c r="I19" s="82">
        <v>2</v>
      </c>
      <c r="J19" s="83">
        <v>1.5</v>
      </c>
      <c r="K19" s="83">
        <v>-0.5</v>
      </c>
      <c r="L19" s="83">
        <v>-0.5</v>
      </c>
      <c r="M19" s="589">
        <f t="shared" si="2"/>
        <v>0.5</v>
      </c>
      <c r="N19" s="602" t="s">
        <v>9</v>
      </c>
      <c r="O19" s="604">
        <f>IF(AND(OR((K$15-K19)=0,(K$15-K19)=1),(L$15-L19)=-1),"N.P.",IF(AND(OR($J$15-$J19=-1,$J$15-$J19=1),OR(($J$15+$K$15)-($J19+$K19)=-1,($J$15+$K$15)-($J19+$K19)=0,($J$15+$K$15)-($J19+$K19)=1),OR($M$15-$M19=-1,$M$15-$M19=0,$M$15-$M19=1)),-($C$5*$C$8/($G$15-$G19))*100000000,"N.P."))</f>
        <v>1215.6736805814512</v>
      </c>
      <c r="P19" s="606" t="str">
        <f>IF(AND(OR((K$16-K19)=0,(K$16-K19)=1),(L$16-L19)=-1),"N.P.",IF(AND(OR($J$16-$J19=-1,$J$16-$J19=1),OR(($J$16+$K$16)-($J19+$K19)=-1,($J$16+$K$16)-($J19+$K19)=0,($J$16+$K$16)-($J19+$K19)=1),OR($M$16-$M19=-1,$M$16-$M19=0,$M$16-$M19=1)),-($C$5*$C$8/($G$16-$G19))*100000000,"N.P."))</f>
        <v>N.P.</v>
      </c>
      <c r="Q19" s="606" t="str">
        <f>IF(AND(OR((K$17-K19)=0,(K$17-K19)=1),(L$17-L19)=-1),"N.P.",IF(AND(OR($J$17-$J19=-1,$J$17-$J19=1),OR(($J$17+$K$17)-($J19+$K19)=-1,($J$17+$K$17)-($J19+$K19)=0,($J$17+$K$17)-($J19+$K19)=1),OR($M$17-$M19=-1,$M$17-$M19=0,$M$17-$M19=1)),-($C$5*$C$8/($G$17-$G19))*100000000,"N.P."))</f>
        <v>N.P.</v>
      </c>
      <c r="R19" s="549">
        <f>IF(AND(OR((K$18-K19)=0,(K$18-K19)=1),(L$18-L19)=-1),"N.P.",IF(AND(OR($J$18-$J19=-1,$J$18-$J19=1),OR(($J$18+$K$18)-($J19+$K19)=-1,($J$18+$K$18)-($J19+$K19)=0,($J$18+$K$18)-($J19+$K19)=1),OR($M$18-$M19=-1,$M$18-$M19=0,$M$18-$M19=1)),-($C$5*$C$8/($G$18-$G19))*100000000,"N.P."))</f>
        <v>1215.674561914135</v>
      </c>
      <c r="S19" s="584"/>
      <c r="T19" s="145"/>
      <c r="U19" s="527" t="s">
        <v>130</v>
      </c>
      <c r="V19" s="616"/>
      <c r="W19" s="145"/>
      <c r="X19" s="146"/>
      <c r="Y19" s="82"/>
      <c r="Z19" s="83"/>
      <c r="AA19" s="538"/>
      <c r="AB19" s="538"/>
      <c r="AC19" s="80"/>
      <c r="AD19" s="538"/>
      <c r="AE19" s="83"/>
      <c r="AF19" s="536"/>
      <c r="AG19" s="80"/>
      <c r="AH19" s="537"/>
      <c r="AI19" s="555"/>
      <c r="AJ19" s="216"/>
    </row>
    <row r="20" spans="1:36" ht="14.25">
      <c r="A20" s="73">
        <v>6</v>
      </c>
      <c r="B20" s="419">
        <v>5.5</v>
      </c>
      <c r="C20" s="468">
        <f t="shared" si="0"/>
        <v>0.03279869402467739</v>
      </c>
      <c r="D20" s="428">
        <v>3.5E-13</v>
      </c>
      <c r="E20" s="429">
        <f>(((3.1415926535*(5/3)^(1/2)*M$4*D$20*C$8)/C$5)^2*A$16)/(B$16+A$28)^3</f>
        <v>6.845764011507341E-05</v>
      </c>
      <c r="F20" s="430">
        <f>(((C$5*C$8*M$4)/(8^(1/2)*3.1415926535*C$10^2*C$7*M$3))^2)*(A$16^3/(B$16+A$28))</f>
        <v>0.022279843199032083</v>
      </c>
      <c r="G20" s="492">
        <f>-($C$5*$H$6*$C$7^2/$A$16^2)*(1+($B$30^2*$C$7^2/$A$16^2)*($A$16/($B$16)-($M$4/$M$6)*(1-$A$48*$M$4/$M$3)*$A$16*$A$28/(($B$16+$A$28)*$B$16)+2*$M$4^2/($M$3*$M$6)*$A$48*$B$48*($A$16*$A$28*$A$44/($B$16*($B$16+$A$28)^2))-0.75-$E$20-$F$20))</f>
        <v>-5.4468025708275455E-12</v>
      </c>
      <c r="H20" s="431">
        <f t="shared" si="1"/>
        <v>82258.88399899066</v>
      </c>
      <c r="I20" s="432">
        <v>2</v>
      </c>
      <c r="J20" s="433">
        <v>1.5</v>
      </c>
      <c r="K20" s="433">
        <v>-0.5</v>
      </c>
      <c r="L20" s="518">
        <v>0.5</v>
      </c>
      <c r="M20" s="589">
        <f t="shared" si="2"/>
        <v>1.5</v>
      </c>
      <c r="N20" s="601" t="s">
        <v>136</v>
      </c>
      <c r="O20" s="605">
        <f aca="true" t="shared" si="3" ref="O20:O34">IF(AND(OR((K$15-K20)=0,(K$15-K20)=1),(L$15-L20)=-1),"N.P.",IF(AND(OR($J$15-$J20=-1,$J$15-$J20=1),OR(($J$15+$K$15)-($J20+$K20)=-1,($J$15+$K$15)-($J20+$K20)=0,($J$15+$K$15)-($J20+$K20)=1),OR($M$15-$M20=-1,$M$15-$M20=0,$M$15-$M20=1)),-($C$5*$C$8/($G$15-$G20))*100000000,"N.P."))</f>
        <v>1215.6736438592839</v>
      </c>
      <c r="P20" s="605" t="str">
        <f aca="true" t="shared" si="4" ref="P20:P34">IF(AND(OR((K$16-K20)=0,(K$16-K20)=1),(L$16-L20)=-1),"N.P.",IF(AND(OR($J$16-$J20=-1,$J$16-$J20=1),OR(($J$16+$K$16)-($J20+$K20)=-1,($J$16+$K$16)-($J20+$K20)=0,($J$16+$K$16)-($J20+$K20)=1),OR($M$16-$M20=-1,$M$16-$M20=0,$M$16-$M20=1)),-($C$5*$C$8/($G$16-$G20))*100000000,"N.P."))</f>
        <v>N.P.</v>
      </c>
      <c r="Q20" s="605" t="str">
        <f>IF(AND(OR((K$17-K20)=0,(K$17-K20)=1),(L$17-L20)=-1),"N.P.",IF(AND(OR($J$17-$J20=-1,$J$17-$J20=1),OR(($J$17+$K$17)-($J20+$K20)=-1,($J$17+$K$17)-($J20+$K20)=0,($J$17+$K$17)-($J20+$K20)=1),OR($M$17-$M20=-1,$M$17-$M20=0,$M$17-$M20=1)),-($C$5*$C$8/($G$17-$G20))*100000000,"N.P."))</f>
        <v>N.P.</v>
      </c>
      <c r="R20" s="550" t="str">
        <f aca="true" t="shared" si="5" ref="R20:R34">IF(AND(OR((K$18-K20)=0,(K$18-K20)=1),(L$18-L20)=-1),"N.P.",IF(AND(OR($J$18-$J20=-1,$J$18-$J20=1),OR(($J$18+$K$18)-($J20+$K20)=-1,($J$18+$K$18)-($J20+$K20)=0,($J$18+$K$18)-($J20+$K20)=1),OR($M$18-$M20=-1,$M$18-$M20=0,$M$18-$M20=1)),-($C$5*$C$8/($G$18-$G20))*100000000,"N.P."))</f>
        <v>N.P.</v>
      </c>
      <c r="S20" s="608" t="str">
        <f>IF(OR($M$19-$M20&gt;1,$M$19-$M20&lt;-1),"N.P.",IF(AND($J$19-$J20=-1,$K$19-$K20=1,$L$19-$L20=0),-$C$8*$C$5/($G$19-$G20)/$AJ$10,"N.P."))</f>
        <v>N.P.</v>
      </c>
      <c r="T20" s="526"/>
      <c r="U20" s="434"/>
      <c r="V20" s="617" t="s">
        <v>130</v>
      </c>
      <c r="W20" s="434"/>
      <c r="X20" s="435"/>
      <c r="Y20" s="82"/>
      <c r="Z20" s="83"/>
      <c r="AA20" s="538"/>
      <c r="AB20" s="538"/>
      <c r="AC20" s="80"/>
      <c r="AD20" s="538"/>
      <c r="AE20" s="83"/>
      <c r="AF20" s="536"/>
      <c r="AG20" s="80"/>
      <c r="AH20" s="537"/>
      <c r="AI20" s="554"/>
      <c r="AJ20" s="216"/>
    </row>
    <row r="21" spans="1:36" ht="12.75">
      <c r="A21" s="73">
        <v>7</v>
      </c>
      <c r="B21" s="419">
        <v>6.5</v>
      </c>
      <c r="C21" s="468">
        <f t="shared" si="0"/>
        <v>0.0074544457893352956</v>
      </c>
      <c r="D21" s="378">
        <v>1.378155E-11</v>
      </c>
      <c r="E21" s="138">
        <f>(((3.1415926535*(5/3)^(1/2)*M$4*D$21*C$8)/C$5)^2*A$16)/(B$15+A$27)^3</f>
        <v>0.10614070438503691</v>
      </c>
      <c r="F21" s="379">
        <f>(((C$5*C$8*M$4)/(8^(1/2)*3.1415926535*C$10^2*C$7*M$3))^2)*(A$16^3/(B$15+A$27))</f>
        <v>0.022279843199032083</v>
      </c>
      <c r="G21" s="493">
        <f>-($C$5*$H$6*$C$7^2/$A$16^2)*(1+($B$30^2*$C$7^2/$A$16^2)*($A$16/($B$15)-($M$4/$M$6)*(1-$A$48*$M$4/$M$3)*$A$16*$A$27/(($B$15+$A$27)*$B$15)+2*$M$4^2/($M$3*$M$6)*$A$48*$B$48*($A$16*$A$27*$A$44/($B$15*($B$15+$A$27)^2))-0.75-$E$21-$F$21))</f>
        <v>-5.446796055542609E-12</v>
      </c>
      <c r="H21" s="282">
        <f t="shared" si="1"/>
        <v>82258.91679768468</v>
      </c>
      <c r="I21" s="82">
        <v>2</v>
      </c>
      <c r="J21" s="83">
        <v>0.5</v>
      </c>
      <c r="K21" s="583">
        <v>0.5</v>
      </c>
      <c r="L21" s="583">
        <v>0.5</v>
      </c>
      <c r="M21" s="589">
        <f t="shared" si="2"/>
        <v>1.5</v>
      </c>
      <c r="N21" s="602" t="s">
        <v>128</v>
      </c>
      <c r="O21" s="606" t="str">
        <f t="shared" si="3"/>
        <v>N.P.</v>
      </c>
      <c r="P21" s="606">
        <f t="shared" si="4"/>
        <v>1215.6735653775213</v>
      </c>
      <c r="Q21" s="606">
        <f>IF(AND(OR((K$17-K21)=0,(K$17-K21)=1),(L$17-L21)=-1),"N.P.",IF(AND(OR($J$17-$J21=-1,$J$17-$J21=1),OR(($J$17+$K$17)-($J21+$K21)=-1,($J$17+$K$17)-($J21+$K21)=0,($J$17+$K$17)-($J21+$K21)=1),OR($M$17-$M21=-1,$M$17-$M21=0,$M$17-$M21=1)),-($C$5*$C$8/($G$17-$G21))*100000000,"N.P."))</f>
        <v>1215.6738591548853</v>
      </c>
      <c r="R21" s="549" t="str">
        <f t="shared" si="5"/>
        <v>N.P.</v>
      </c>
      <c r="S21" s="585" t="s">
        <v>130</v>
      </c>
      <c r="T21" s="629" t="str">
        <f>IF(OR(M$20-M21&gt;1,M$20-M21&lt;-1),"N.P.",IF(AND($J$20-$J21=-1,$K$20-$K21=1,$L$20-$L21=0),-$C$8*$C$5/($G$19-$G21)/$AJ$10,"N.P."))</f>
        <v>N.P.</v>
      </c>
      <c r="U21" s="149"/>
      <c r="V21" s="616"/>
      <c r="W21" s="145"/>
      <c r="X21" s="146"/>
      <c r="Y21" s="514"/>
      <c r="Z21" s="80"/>
      <c r="AA21" s="80"/>
      <c r="AB21" s="80"/>
      <c r="AC21" s="80"/>
      <c r="AD21" s="80"/>
      <c r="AE21" s="80"/>
      <c r="AF21" s="536"/>
      <c r="AG21" s="80"/>
      <c r="AH21" s="537"/>
      <c r="AI21" s="555"/>
      <c r="AJ21" s="216"/>
    </row>
    <row r="22" spans="1:36" ht="14.25">
      <c r="A22" s="90">
        <v>8</v>
      </c>
      <c r="B22" s="410">
        <v>7.5</v>
      </c>
      <c r="C22" s="468">
        <f t="shared" si="0"/>
        <v>0.3232522688631434</v>
      </c>
      <c r="D22" s="449">
        <v>1.378155E-11</v>
      </c>
      <c r="E22" s="429">
        <f>(((3.1415926535*(5/3)^(1/2)*M$4*D$22*C$8)/C$5)^2*A$16)/(B$15+A$27)^3</f>
        <v>0.10614070438503691</v>
      </c>
      <c r="F22" s="430">
        <f>(((C$5*C$8*M$4)/(8^(1/2)*3.1415926535*C$10^2*C$7*M$3))^2)*(A$16^3/(B$15+A$27))</f>
        <v>0.022279843199032083</v>
      </c>
      <c r="G22" s="492">
        <f>-($C$5*$H$6*$C$7^2/$A$16^2)*(1+($B$30^2*$C$7^2/$A$16^2)*($A$16/($B$15)-($M$4/$M$6)*(1-$A$48*$M$4/$M$3)*$A$16*$A$27/(($B$15+$A$27)*$B$15)+2*$M$4^2/($M$3*$M$6)*$A$48*$B$48*($A$16*$A$27*$A$45/($B$15*($B$15+$A$27)^2))-0.75-$E$22-$F$22))</f>
        <v>-5.446794574756873E-12</v>
      </c>
      <c r="H22" s="431">
        <f t="shared" si="1"/>
        <v>82258.92425213047</v>
      </c>
      <c r="I22" s="432">
        <v>2</v>
      </c>
      <c r="J22" s="433">
        <v>0.5</v>
      </c>
      <c r="K22" s="518">
        <v>0.5</v>
      </c>
      <c r="L22" s="524">
        <v>-0.5</v>
      </c>
      <c r="M22" s="589">
        <f t="shared" si="2"/>
        <v>0.5</v>
      </c>
      <c r="N22" s="601" t="s">
        <v>135</v>
      </c>
      <c r="O22" s="605" t="str">
        <f t="shared" si="3"/>
        <v>N.P.</v>
      </c>
      <c r="P22" s="605">
        <f t="shared" si="4"/>
        <v>1215.6734552110468</v>
      </c>
      <c r="Q22" s="605">
        <f>IF(AND(OR((K$17-K22)=0,(K$17-K22)=1),(L$17-L22)=-1),"N.P.",IF(AND(OR($J$17-$J22=-1,$J$17-$J22=1),OR(($J$17+$K$17)-($J22+$K22)=-1,($J$17+$K$17)-($J22+$K22)=0,($J$17+$K$17)-($J22+$K22)=1),OR($M$17-$M22=-1,$M$17-$M22=0,$M$17-$M22=1)),-($C$5*$C$8/($G$17-$G22))*100000000,"N.P."))</f>
        <v>1215.6737489883574</v>
      </c>
      <c r="R22" s="550" t="str">
        <f t="shared" si="5"/>
        <v>N.P.</v>
      </c>
      <c r="S22" s="608" t="str">
        <f>IF(OR(M$19-M22&gt;1,M$19-M22&lt;-1),"N.P.",IF(AND($J$19-$J22=-1,$K$19-$K22=1,$L$19-$L22=0),-$C$8*$C$5/($G$19-$G22)/$AJ$10,"N.P."))</f>
        <v>N.P.</v>
      </c>
      <c r="T22" s="630" t="s">
        <v>130</v>
      </c>
      <c r="U22" s="629" t="str">
        <f>IF(OR($M$21-$M22&gt;1,$M$21-$M22&lt;-1),"N.P.",IF(AND($J$21-$J22=-1,$K$21-$K22=1,$L$21-$L22=0),-$C$8*$C$5/($G$19-$G22)/$AJ$10,"N.P."))</f>
        <v>N.P.</v>
      </c>
      <c r="V22" s="618"/>
      <c r="W22" s="434"/>
      <c r="X22" s="435"/>
      <c r="Y22" s="514"/>
      <c r="Z22" s="80"/>
      <c r="AA22" s="80"/>
      <c r="AB22" s="80"/>
      <c r="AC22" s="80"/>
      <c r="AD22" s="80"/>
      <c r="AE22" s="80"/>
      <c r="AF22" s="536"/>
      <c r="AG22" s="80"/>
      <c r="AH22" s="537"/>
      <c r="AI22" s="554"/>
      <c r="AJ22" s="216"/>
    </row>
    <row r="23" spans="1:36" ht="12.75">
      <c r="A23" s="58"/>
      <c r="B23" s="91"/>
      <c r="C23" s="468">
        <f t="shared" si="0"/>
        <v>0.0006212038279045373</v>
      </c>
      <c r="D23" s="378">
        <v>1.325E-11</v>
      </c>
      <c r="E23" s="138">
        <f>(((3.1415926535*(5/3)^(1/2)*M$4*D$23*C$8)/C$5)^2*A$16)/(B$16+A$27)^3</f>
        <v>0.012263871880308749</v>
      </c>
      <c r="F23" s="379">
        <f>(((C$5*C$8*M$4)/(8^(1/2)*3.1415926535*C$10^2*C$7*M$3))^2)*(A$16^3/(B$16+A$27))</f>
        <v>0.011139921599516042</v>
      </c>
      <c r="G23" s="493">
        <f>-($C$5*$H$6*$C$7^2/$A$16^2)*(1+($B$30^2*$C$7^2/$A$16^2)*($A$16/($B$16)-($M$4/$M$6)*(1-$A$48*$M$4/$M$3)*$A$16*$A$27/(($B$16+$A$27)*$B$16)+2*$M$4^2/($M$3*$M$6)*$A$48*$B$48*($A$16*$A$27*$A$44/($B$16*($B$16+$A$27)^2))-0.75-$E$23-$F$23))</f>
        <v>-5.446730362424628E-12</v>
      </c>
      <c r="H23" s="282">
        <f t="shared" si="1"/>
        <v>82259.24750439933</v>
      </c>
      <c r="I23" s="82">
        <v>2</v>
      </c>
      <c r="J23" s="83">
        <v>1.5</v>
      </c>
      <c r="K23" s="583">
        <v>0.5</v>
      </c>
      <c r="L23" s="583">
        <v>0.5</v>
      </c>
      <c r="M23" s="589">
        <f t="shared" si="2"/>
        <v>2.5</v>
      </c>
      <c r="N23" s="602" t="s">
        <v>8</v>
      </c>
      <c r="O23" s="604">
        <f t="shared" si="3"/>
        <v>1215.6682717709396</v>
      </c>
      <c r="P23" s="606" t="str">
        <f t="shared" si="4"/>
        <v>N.P.</v>
      </c>
      <c r="Q23" s="606" t="str">
        <f aca="true" t="shared" si="6" ref="Q23:Q34">IF(AND(OR((K$17-K23)=0,(K$17-K23)=1),(L$17-L23)=-1),"N.P.",IF(AND(OR($J$17-$J23=-1,$J$17-$J23=1),OR(($J$17+$K$17)-($J23+$K23)=-1,($J$17+$K$17)-($J23+$K23)=0,($J$17+$K$17)-($J23+$K23)=1),OR($M$17-$M23=-1,$M$17-$M23=0,$M$17-$M23=1)),-($C$5*$C$8/($G$17-$G23))*100000000,"N.P."))</f>
        <v>N.P.</v>
      </c>
      <c r="R23" s="549" t="str">
        <f t="shared" si="5"/>
        <v>N.P.</v>
      </c>
      <c r="S23" s="611" t="str">
        <f>IF(OR(M$19-M23&gt;1,M$19-M23&lt;-1),"N.P.",IF(AND($J$19-$J23=-1,$K$19-$K23=1,$L$19-$L23=0),-$C$8*$C$5/($G$19-$G23)/$AJ$10,"N.P."))</f>
        <v>N.P.</v>
      </c>
      <c r="T23" s="629" t="str">
        <f>IF(OR(M$20-M23&gt;1,M$20-M23&lt;-1),"N.P.",IF(AND($J$20-$J23=-1,$K$20-$K23=1,$L$20-$L23=0),-$C$8*$C$5/($G$19-$G23)/$AJ$10,"N.P."))</f>
        <v>N.P.</v>
      </c>
      <c r="U23" s="631" t="str">
        <f>IF(OR($M$21-$M23&gt;1,$M$21-$M23&lt;-1),"N.P.",IF(AND($J$21-$J23=-1,$K$21-$K23=1,$L$21-$L23=0),-$C$8*$C$5/($G$19-$G23)/$AJ$10,"N.P."))</f>
        <v>N.P.</v>
      </c>
      <c r="V23" s="633" t="str">
        <f>IF(OR($M$22-$M23&gt;1,$M$22-$M23&lt;-1),"N.P.",IF(AND($J$22-$J23=-1,$K$22-$K23=1,$L$22-$L23=0),-$C$8*$C$5/($G$19-$G23)/$AJ$10,"N.P."))</f>
        <v>N.P.</v>
      </c>
      <c r="W23" s="149"/>
      <c r="X23" s="146"/>
      <c r="Y23" s="514"/>
      <c r="Z23" s="80"/>
      <c r="AA23" s="83"/>
      <c r="AB23" s="83"/>
      <c r="AC23" s="80"/>
      <c r="AD23" s="83"/>
      <c r="AE23" s="80"/>
      <c r="AF23" s="536"/>
      <c r="AG23" s="80"/>
      <c r="AH23" s="537"/>
      <c r="AI23" s="555"/>
      <c r="AJ23" s="216"/>
    </row>
    <row r="24" spans="1:36" ht="15" thickBot="1">
      <c r="A24" s="79" t="s">
        <v>46</v>
      </c>
      <c r="B24" s="353"/>
      <c r="C24" s="503"/>
      <c r="D24" s="457">
        <v>1.325E-11</v>
      </c>
      <c r="E24" s="504">
        <f>(((3.1415926535*(5/3)^(1/2)*M$4*D$24*C$8)/C$5)^2*A$16)/(B$16+A$27)^3</f>
        <v>0.012263871880308749</v>
      </c>
      <c r="F24" s="505">
        <f>(((C$5*C$8*M$4)/(8^(1/2)*3.1415926535*C$10^2*C$7*M$3))^2)*(A$16^3/(B$16+A$27))</f>
        <v>0.011139921599516042</v>
      </c>
      <c r="G24" s="506">
        <f>-($C$5*$H$6*$C$7^2/$A$16^2)*(1+($B$30^2*$C$7^2/$A$16^2)*($A$16/($B$16)-($M$4/$M$6)*(1-$A$48*$M$4/$M$3)*$A$16*$A$27/(($B$16+$A$27)*$B$16)+2*$M$4^2/($M$3*$M$6)*$A$48*$B$48*($A$16*$A$27*$A$45/($B$16*($B$16+$A$27)^2))-0.75-$E$24-$F$24))</f>
        <v>-5.446730239025817E-12</v>
      </c>
      <c r="H24" s="507">
        <f t="shared" si="1"/>
        <v>82259.24812560316</v>
      </c>
      <c r="I24" s="460">
        <v>2</v>
      </c>
      <c r="J24" s="461">
        <v>1.5</v>
      </c>
      <c r="K24" s="517">
        <v>0.5</v>
      </c>
      <c r="L24" s="523">
        <v>-0.5</v>
      </c>
      <c r="M24" s="590">
        <f t="shared" si="2"/>
        <v>1.5</v>
      </c>
      <c r="N24" s="603" t="s">
        <v>157</v>
      </c>
      <c r="O24" s="545">
        <f t="shared" si="3"/>
        <v>1215.6682625904791</v>
      </c>
      <c r="P24" s="543" t="str">
        <f t="shared" si="4"/>
        <v>N.P.</v>
      </c>
      <c r="Q24" s="543" t="str">
        <f t="shared" si="6"/>
        <v>N.P.</v>
      </c>
      <c r="R24" s="551">
        <f t="shared" si="5"/>
        <v>1215.6691439153071</v>
      </c>
      <c r="S24" s="610" t="str">
        <f>IF(OR(M$19-M24&gt;1,M$19-M24&lt;-1),"N.P.",IF(AND($J$19-$J24=-1,$K$19-$K24=1,$L$19-$L24=0),-$C$8*$C$5/($G$19-$G24)/$AJ$10,"N.P."))</f>
        <v>N.P.</v>
      </c>
      <c r="T24" s="632" t="str">
        <f>IF(OR(M$20-M24&gt;1,M$20-M24&lt;-1),"N.P.",IF(AND($J$20-$J24=-1,$K$20-$K24=1,$L$20-$L24=0),-$C$8*$C$5/($G$19-$G24)/$AJ$10,"N.P."))</f>
        <v>N.P.</v>
      </c>
      <c r="U24" s="632" t="str">
        <f>IF(OR($M$21-$M24&gt;1,$M$21-$M24&lt;-1),"N.P.",IF(AND($J$21-$J24=-1,$K$21-$K24=1,$L$21-$L24=0),-$C$8*$C$5/($G$19-$G24)/$AJ$10,"N.P."))</f>
        <v>N.P.</v>
      </c>
      <c r="V24" s="634" t="str">
        <f>IF(OR($M$22-$M24&gt;1,$M$22-$M24&lt;-1),"N.P.",IF(AND($J$22-$J24=-1,$K$22-$K24=1,$L$22-$L24=0),-$C$8*$C$5/($G$19-$G24)/$AJ$10,"N.P."))</f>
        <v>N.P.</v>
      </c>
      <c r="W24" s="619" t="str">
        <f>IF(OR($M$23-$M24&gt;1,$M$23-$M24&lt;-1),"N.P.",IF(AND($J$23-$J24=-1,$K$23-$K24=1,$L$23-$L24=0),-$C$8*$C$5/($G$19-$G24)/$AJ$10,"N.P."))</f>
        <v>N.P.</v>
      </c>
      <c r="X24" s="469"/>
      <c r="Y24" s="586"/>
      <c r="Z24" s="508"/>
      <c r="AA24" s="104"/>
      <c r="AB24" s="104"/>
      <c r="AC24" s="508"/>
      <c r="AD24" s="104"/>
      <c r="AE24" s="508"/>
      <c r="AF24" s="539"/>
      <c r="AG24" s="508"/>
      <c r="AH24" s="540"/>
      <c r="AI24" s="554"/>
      <c r="AJ24" s="216"/>
    </row>
    <row r="25" spans="1:36" ht="13.5" thickTop="1">
      <c r="A25" s="86" t="s">
        <v>37</v>
      </c>
      <c r="B25" s="84"/>
      <c r="C25" s="468">
        <f aca="true" t="shared" si="7" ref="C25:C33">-(H25-H26)</f>
        <v>0.0007362415344687179</v>
      </c>
      <c r="D25" s="378">
        <v>3.5E-13</v>
      </c>
      <c r="E25" s="157">
        <f>(((3.1415926535*(5/3)^(1/2)*M$4*D25*C$8)/C$5)^2*A$17)/(B16+A28)^3</f>
        <v>0.00010268646017261011</v>
      </c>
      <c r="F25" s="385">
        <f>(((C$5*C$8*M$4)/(8^(1/2)*3.1415926535*C$10^2*C$7*M$3))^2)*(A17^3/(B16+A28))</f>
        <v>0.07519447079673328</v>
      </c>
      <c r="G25" s="494">
        <f>-($C$5*$H$6*$C$7^2/A17^2)*(1+($B$30^2*$C$7^2/A17^2)*(A17/(B16)-(M$4/M$6)*(1-A48*M$4/M$3)*A17*A28/((B16+A28)*B16)+2*M$4^2/(M$3*M$6)*A48*B48*(A17*A28*A45/(B16*(B16+A28)^2))-0.75-E25-F25))</f>
        <v>-2.4207929173256694E-12</v>
      </c>
      <c r="H25" s="282">
        <f aca="true" t="shared" si="8" ref="H25:H33">((G25-$G$15)*624150948000)*8065.541</f>
        <v>97492.16477127183</v>
      </c>
      <c r="I25" s="82">
        <v>3</v>
      </c>
      <c r="J25" s="83">
        <v>1.5</v>
      </c>
      <c r="K25" s="83">
        <v>-0.5</v>
      </c>
      <c r="L25" s="83">
        <v>-0.5</v>
      </c>
      <c r="M25" s="589">
        <f t="shared" si="2"/>
        <v>0.5</v>
      </c>
      <c r="N25" s="602" t="s">
        <v>9</v>
      </c>
      <c r="O25" s="604">
        <f t="shared" si="3"/>
        <v>1025.7230156440046</v>
      </c>
      <c r="P25" s="606" t="str">
        <f t="shared" si="4"/>
        <v>N.P.</v>
      </c>
      <c r="Q25" s="606" t="str">
        <f t="shared" si="6"/>
        <v>N.P.</v>
      </c>
      <c r="R25" s="549">
        <f>IF(AND(OR((K$18-K25)=0,(K$18-K25)=1),(L$18-L25)=-1),"N.P.",IF(AND(OR($J$18-$J25=-1,$J$18-$J25=1),OR(($J$18+$K$18)-($J25+$K25)=-1,($J$18+$K$18)-($J25+$K25)=0,($J$18+$K$18)-($J25+$K25)=1),OR($M$18-$M25=-1,$M$18-$M25=0,$M$18-$M25=1)),-($C$5*$C$8/($G$18-$G25))*100000000,"N.P."))</f>
        <v>1025.7236430750434</v>
      </c>
      <c r="S25" s="639" t="str">
        <f>IF(AND(OR((K$19-K25)=0,(K$19-K25)=1),(L$19-L25)=-1),"N.P.",IF(AND(OR($J$19-$J25=-1,$J$19-$J25=1),OR(($J$19+$K$19)-($J25+$K25)=-1,($J$19+$K$19)-($J25+$K25)=0,($J$19+$K$19)-($J25+$K25)=1),OR($M$19-$M25=-1,$M$19-$M25=0,$M$19-$M25=1)),-($C$5*$C$8/($G$19-$G25))*100000000/$T$10,"N.P."))</f>
        <v>N.P.</v>
      </c>
      <c r="T25" s="640" t="str">
        <f>IF(AND(OR((K$20-K25)=0,(K$20-K25)=1),(L$20-L25)=-1),"N.P.",IF(AND(OR($J$20-$J25=-1,$J$20-$J25=1),OR(($J$20+$K$20)-($J25+$K25)=-1,($J$20+$K$20)-($J25+$K25)=0,($J$20+$K$20)-($J25+$K25)=1),OR($M$20-$M25=-1,$M$20-$M25=0,$M$20-$M25=1)),-($C$5*$C$8/($G$20-$G25))*100000000/$T$10,"N.P."))</f>
        <v>N.P.</v>
      </c>
      <c r="U25" s="641">
        <f>IF(AND(OR((K$21-K25)=0,(K$21-K25)=1),(L$21-L25)=-1),"N.P.",IF(AND(OR($J$21-$J25=-1,$J$21-$J25=1),OR(($J$21+$K$21)-($J25+$K25)=-1,($J$21+$K$21)-($J25+$K25)=0,($J$21+$K$21)-($J25+$K25)=1),OR($M$21-$M25=-1,$M$21-$M25=0,$M$21-$M25=1)),-($C$5*$C$8/($G$21-$G25))*100000000/$T$10,"N.P."))</f>
        <v>6562.7725275958965</v>
      </c>
      <c r="V25" s="640">
        <f>IF(AND(OR((K$22-K25)=0,(K$22-K25)=1),(L$22-L25)=-1),"N.P.",IF(AND(OR($J$22-$J25=-1,$J$22-$J25=1),OR(($J$22+$K$22)-($J25+$K25)=-1,($J$22+$K$22)-($J25+$K25)=0,($J$22+$K$22)-($J25+$K25)=1),OR($M$22-$M25=-1,$M$22-$M25=0,$M$22-$M25=1)),-($C$5*$C$8/($G$22-$G25))*100000000/$T$10,"N.P."))</f>
        <v>6562.775739114279</v>
      </c>
      <c r="W25" s="541" t="str">
        <f>IF(AND(OR((K$23-K25)=0,(K$23-K25)=1),(L$23-L25)=-1),"N.P.",IF(AND(OR($J$23-$J25=-1,$J$23-$J25=1),OR(($J$23+$K$23)-($J25+$K25)=-1,($J$23+$K$23)-($J25+$K25)=0,($J$23+$K$23)-($J25+$K25)=1),OR($M$23-$M25=-1,$M$23-$M25=0,$M$23-$M25=1)),-($C$5*$C$8/($G$23-$G25))*100000000/$T$10,"N.P."))</f>
        <v>N.P.</v>
      </c>
      <c r="X25" s="642" t="str">
        <f>IF(AND(OR((K$24-K25)=0,(K$24-K25)=1),(L$24-L25)=-1),"N.P.",IF(AND(OR($J$24-$J25=-1,$J$24-$J25=1),OR(($J$24+$K$24)-($J25+$K25)=-1,($J$24+$K$24)-($J25+$K25)=0,($J$24+$K$24)-($J25+$K25)=1),OR($M$24-$M25=-1,$M$24-$M25=0,$M$24-$M25=1)),-($C$5*$C$8/($G$24-$G25))*100000000/$T$10,"N.P."))</f>
        <v>N.P.</v>
      </c>
      <c r="Y25" s="159"/>
      <c r="Z25" s="85"/>
      <c r="AA25" s="552" t="s">
        <v>130</v>
      </c>
      <c r="AB25" s="85"/>
      <c r="AC25" s="85"/>
      <c r="AD25" s="85"/>
      <c r="AE25" s="85"/>
      <c r="AF25" s="85"/>
      <c r="AG25" s="85"/>
      <c r="AH25" s="160"/>
      <c r="AI25" s="555"/>
      <c r="AJ25" s="216"/>
    </row>
    <row r="26" spans="1:36" ht="14.25">
      <c r="A26" s="445" t="s">
        <v>140</v>
      </c>
      <c r="B26" s="44"/>
      <c r="C26" s="468">
        <f t="shared" si="7"/>
        <v>0.00884966024023015</v>
      </c>
      <c r="D26" s="428">
        <v>3.5E-13</v>
      </c>
      <c r="E26" s="438">
        <f>(((3.1415926535*(5/3)^(1/2)*M$4*D26*C$8)/C$5)^2*A$17)/(B16+A28)^3</f>
        <v>0.00010268646017261011</v>
      </c>
      <c r="F26" s="439">
        <f>(((C$5*C$8*M$4)/(8^(1/2)*3.1415926535*C$10^2*C$7*M$3))^2)*(A17^3/(B16+A28))</f>
        <v>0.07519447079673328</v>
      </c>
      <c r="G26" s="495">
        <f>-($C$5*$H$6*$C$7^2/A17^2)*(1+($B$30^2*$C$7^2/A17^2)*(A17/(B16)-(M$4/M$6)*(1-A$48*M$4/M$3)*A17*A28/((B16+A28)*B16)+2*M$4^2/(M$3*M$6)*A$48*B$48*(A17*A28*A44/(B16*(B16+A28)^2))-0.75-E26-F26))</f>
        <v>-2.4207927710752265E-12</v>
      </c>
      <c r="H26" s="431">
        <f t="shared" si="8"/>
        <v>97492.16550751336</v>
      </c>
      <c r="I26" s="432">
        <v>3</v>
      </c>
      <c r="J26" s="433">
        <v>1.5</v>
      </c>
      <c r="K26" s="433">
        <v>-0.5</v>
      </c>
      <c r="L26" s="518">
        <v>0.5</v>
      </c>
      <c r="M26" s="589">
        <f t="shared" si="2"/>
        <v>1.5</v>
      </c>
      <c r="N26" s="601" t="s">
        <v>136</v>
      </c>
      <c r="O26" s="605">
        <f t="shared" si="3"/>
        <v>1025.7230078979471</v>
      </c>
      <c r="P26" s="605" t="str">
        <f t="shared" si="4"/>
        <v>N.P.</v>
      </c>
      <c r="Q26" s="605" t="str">
        <f t="shared" si="6"/>
        <v>N.P.</v>
      </c>
      <c r="R26" s="550" t="str">
        <f t="shared" si="5"/>
        <v>N.P.</v>
      </c>
      <c r="S26" s="544" t="str">
        <f aca="true" t="shared" si="9" ref="S26:S34">IF(AND(OR((K$19-K26)=0,(K$19-K26)=1),(L$19-L26)=-1),"N.P.",IF(AND(OR($J$19-$J26=-1,$J$19-$J26=1),OR(($J$19+$K$19)-($J26+$K26)=-1,($J$19+$K$19)-($J26+$K26)=0,($J$19+$K$19)-($J26+$K26)=1),OR($M$19-$M26=-1,$M$19-$M26=0,$M$19-$M26=1)),-($C$5*$C$8/($G$19-$G26))*100000000/$T$10,"N.P."))</f>
        <v>N.P.</v>
      </c>
      <c r="T26" s="542" t="str">
        <f aca="true" t="shared" si="10" ref="T26:T34">IF(AND(OR((K$20-K26)=0,(K$20-K26)=1),(L$20-L26)=-1),"N.P.",IF(AND(OR($J$20-$J26=-1,$J$20-$J26=1),OR(($J$20+$K$20)-($J26+$K26)=-1,($J$20+$K$20)-($J26+$K26)=0,($J$20+$K$20)-($J26+$K26)=1),OR($M$20-$M26=-1,$M$20-$M26=0,$M$20-$M26=1)),-($C$5*$C$8/($G$20-$G26))*100000000/$T$10,"N.P."))</f>
        <v>N.P.</v>
      </c>
      <c r="U26" s="542">
        <f aca="true" t="shared" si="11" ref="U26:U34">IF(AND(OR((K$21-K26)=0,(K$21-K26)=1),(L$21-L26)=-1),"N.P.",IF(AND(OR($J$21-$J26=-1,$J$21-$J26=1),OR(($J$21+$K$21)-($J26+$K26)=-1,($J$21+$K$21)-($J26+$K26)=0,($J$21+$K$21)-($J26+$K26)=1),OR($M$21-$M26=-1,$M$21-$M26=0,$M$21-$M26=1)),-($C$5*$C$8/($G$21-$G26))*100000000/$T$10,"N.P."))</f>
        <v>6562.772210409067</v>
      </c>
      <c r="V26" s="542" t="str">
        <f aca="true" t="shared" si="12" ref="V26:V34">IF(AND(OR((K$22-K26)=0,(K$22-K26)=1),(L$22-L26)=-1),"N.P.",IF(AND(OR($J$22-$J26=-1,$J$22-$J26=1),OR(($J$22+$K$22)-($J26+$K26)=-1,($J$22+$K$22)-($J26+$K26)=0,($J$22+$K$22)-($J26+$K26)=1),OR($M$22-$M26=-1,$M$22-$M26=0,$M$22-$M26=1)),-($C$5*$C$8/($G$22-$G26))*100000000/$T$10,"N.P."))</f>
        <v>N.P.</v>
      </c>
      <c r="W26" s="542" t="str">
        <f aca="true" t="shared" si="13" ref="W26:W34">IF(AND(OR((K$23-K26)=0,(K$23-K26)=1),(L$23-L26)=-1),"N.P.",IF(AND(OR($J$23-$J26=-1,$J$23-$J26=1),OR(($J$23+$K$23)-($J26+$K26)=-1,($J$23+$K$23)-($J26+$K26)=0,($J$23+$K$23)-($J26+$K26)=1),OR($M$23-$M26=-1,$M$23-$M26=0,$M$23-$M26=1)),-($C$5*$C$8/($G$23-$G26))*100000000/$T$10,"N.P."))</f>
        <v>N.P.</v>
      </c>
      <c r="X26" s="550" t="str">
        <f aca="true" t="shared" si="14" ref="X26:X34">IF(AND(OR((K$24-K26)=0,(K$24-K26)=1),(L$24-L26)=-1),"N.P.",IF(AND(OR($J$24-$J26=-1,$J$24-$J26=1),OR(($J$24+$K$24)-($J26+$K26)=-1,($J$24+$K$24)-($J26+$K26)=0,($J$24+$K$24)-($J26+$K26)=1),OR($M$24-$M26=-1,$M$24-$M26=0,$M$24-$M26=1)),-($C$5*$C$8/($G$24-$G26))*100000000/$T$10,"N.P."))</f>
        <v>N.P.</v>
      </c>
      <c r="Y26" s="608" t="str">
        <f>IF(OR($M$25-$M26&gt;1,$M$25-$M26&lt;-1),"N.P.",IF(AND($J$25-$J26=-1,$K$25-$K26=1,$L$25-$L26=0),-$C$8*$C$5/($G$25-$G26)/$AJ$10,"N.P."))</f>
        <v>N.P.</v>
      </c>
      <c r="Z26" s="434"/>
      <c r="AA26" s="434"/>
      <c r="AB26" s="528" t="s">
        <v>130</v>
      </c>
      <c r="AC26" s="434"/>
      <c r="AD26" s="434"/>
      <c r="AE26" s="434"/>
      <c r="AF26" s="434"/>
      <c r="AG26" s="434"/>
      <c r="AH26" s="435"/>
      <c r="AI26" s="556"/>
      <c r="AJ26" s="216"/>
    </row>
    <row r="27" spans="1:35" ht="12.75">
      <c r="A27" s="94">
        <f>0.5</f>
        <v>0.5</v>
      </c>
      <c r="B27" s="464" t="s">
        <v>47</v>
      </c>
      <c r="C27" s="468">
        <f t="shared" si="7"/>
        <v>0.0022087246761657298</v>
      </c>
      <c r="D27" s="384">
        <v>1.325E-11</v>
      </c>
      <c r="E27" s="157">
        <f>(((3.1415926535*(5/3)^(1/2)*M$4*D27*C$8)/C$5)^2*A$17)/(B16+A28)^3</f>
        <v>0.14716646256370497</v>
      </c>
      <c r="F27" s="385">
        <f>(((C$5*C$8*M$4)/(8^(1/2)*3.1415926535*C$10^2*C$7*M$3))^2)*(A17^3/(B15+A27))</f>
        <v>0.07519447079673328</v>
      </c>
      <c r="G27" s="494">
        <f>-($C$5*$H$6*$C$7^2/A$17^2)*(1+($B$30^2*$C$7^2/A$17^2)*(A$17/(B15)-(M$4/M$6)*(1-A48*M4/M3)*A17*A27/((B15+A27)*B15)+2*M4^2/(M3*M6)*A48*B48*(A17*A27*A44/(B15*(B15+A27)^2))-0.75-E27-F27))</f>
        <v>-2.420791013137612E-12</v>
      </c>
      <c r="H27" s="282">
        <f t="shared" si="8"/>
        <v>97492.1743571736</v>
      </c>
      <c r="I27" s="82">
        <v>3</v>
      </c>
      <c r="J27" s="83">
        <v>0.5</v>
      </c>
      <c r="K27" s="583">
        <v>0.5</v>
      </c>
      <c r="L27" s="583">
        <v>0.5</v>
      </c>
      <c r="M27" s="589">
        <f t="shared" si="2"/>
        <v>1.5</v>
      </c>
      <c r="N27" s="602" t="s">
        <v>7</v>
      </c>
      <c r="O27" s="606" t="str">
        <f t="shared" si="3"/>
        <v>N.P.</v>
      </c>
      <c r="P27" s="606">
        <f t="shared" si="4"/>
        <v>1025.723203995622</v>
      </c>
      <c r="Q27" s="606">
        <f t="shared" si="6"/>
        <v>1025.7234131392936</v>
      </c>
      <c r="R27" s="549" t="str">
        <f t="shared" si="5"/>
        <v>N.P.</v>
      </c>
      <c r="S27" s="547">
        <f t="shared" si="9"/>
        <v>6562.753197058413</v>
      </c>
      <c r="T27" s="541">
        <f t="shared" si="10"/>
        <v>6562.754267557887</v>
      </c>
      <c r="U27" s="541" t="str">
        <f t="shared" si="11"/>
        <v>N.P.</v>
      </c>
      <c r="V27" s="541" t="str">
        <f t="shared" si="12"/>
        <v>N.P.</v>
      </c>
      <c r="W27" s="548">
        <f t="shared" si="13"/>
        <v>6562.910875457021</v>
      </c>
      <c r="X27" s="549" t="str">
        <f t="shared" si="14"/>
        <v>N.P.</v>
      </c>
      <c r="Y27" s="587" t="s">
        <v>130</v>
      </c>
      <c r="Z27" s="629" t="str">
        <f>IF(OR($M$26-$M27&gt;1,$M$26-$M27&lt;-1),"N.P.",IF(AND($J$26-$J27=-1,$K$26-$K27=1,$L$26-$L27=0),-$C$8*$C$5/($G$26-$G27)/$AJ$10,"N.P."))</f>
        <v>N.P.</v>
      </c>
      <c r="AA27" s="85"/>
      <c r="AB27" s="85"/>
      <c r="AC27" s="85"/>
      <c r="AD27" s="85"/>
      <c r="AE27" s="85"/>
      <c r="AF27" s="85"/>
      <c r="AG27" s="85"/>
      <c r="AH27" s="160"/>
      <c r="AI27" s="555"/>
    </row>
    <row r="28" spans="1:35" ht="14.25">
      <c r="A28" s="95">
        <f>-0.5</f>
        <v>-0.5</v>
      </c>
      <c r="B28" s="465" t="s">
        <v>48</v>
      </c>
      <c r="C28" s="468">
        <f t="shared" si="7"/>
        <v>0.09390852806973271</v>
      </c>
      <c r="D28" s="440">
        <v>1.325E-11</v>
      </c>
      <c r="E28" s="438">
        <f>(((3.1415926535*(5/3)^(1/2)*M$4*D28*C$8)/C$5)^2*A$17)/(B16+A28)^3</f>
        <v>0.14716646256370497</v>
      </c>
      <c r="F28" s="439">
        <f>(((C$5*C$8*M$4)/(8^(1/2)*3.1415926535*C$10^2*C$7*M$3))^2)*(A$17^3/(B16+A28))</f>
        <v>0.07519447079673328</v>
      </c>
      <c r="G28" s="495">
        <f>-($C$5*$H$6*$C$7^2/A$17^2)*(1+($B$30^2*$C$7^2/A$17^2)*(A$17/(B15)-(M$4/M$6)*(1-A$48*M$4/M$3)*A$17*A27/((B15+A27)*B15)+2*M$4^2/(M$3*M$6)*A$48*B$48*(A$17*A27*A45/(B15*(B15+A27)^2))-0.75-E28-F28))</f>
        <v>-2.420790574386283E-12</v>
      </c>
      <c r="H28" s="431">
        <f t="shared" si="8"/>
        <v>97492.17656589828</v>
      </c>
      <c r="I28" s="432">
        <v>3</v>
      </c>
      <c r="J28" s="433">
        <v>0.5</v>
      </c>
      <c r="K28" s="518">
        <v>0.5</v>
      </c>
      <c r="L28" s="524">
        <v>-0.5</v>
      </c>
      <c r="M28" s="589">
        <f t="shared" si="2"/>
        <v>0.5</v>
      </c>
      <c r="N28" s="441" t="s">
        <v>135</v>
      </c>
      <c r="O28" s="605" t="str">
        <f t="shared" si="3"/>
        <v>N.P.</v>
      </c>
      <c r="P28" s="605">
        <f t="shared" si="4"/>
        <v>1025.7231807574417</v>
      </c>
      <c r="Q28" s="605">
        <f t="shared" si="6"/>
        <v>1025.7233899011035</v>
      </c>
      <c r="R28" s="550" t="str">
        <f t="shared" si="5"/>
        <v>N.P.</v>
      </c>
      <c r="S28" s="544">
        <f t="shared" si="9"/>
        <v>6562.75224550362</v>
      </c>
      <c r="T28" s="542">
        <f t="shared" si="10"/>
        <v>6562.753316002784</v>
      </c>
      <c r="U28" s="542" t="str">
        <f t="shared" si="11"/>
        <v>N.P.</v>
      </c>
      <c r="V28" s="542" t="str">
        <f t="shared" si="12"/>
        <v>N.P.</v>
      </c>
      <c r="W28" s="542" t="str">
        <f t="shared" si="13"/>
        <v>N.P.</v>
      </c>
      <c r="X28" s="550">
        <f t="shared" si="14"/>
        <v>6562.910191494121</v>
      </c>
      <c r="Y28" s="608" t="str">
        <f>IF(OR($M$25-$M28&gt;1,$M$25-$M28&lt;-1),"N.P.",IF(AND($J$25-$J28=-1,$K$25-$K28=1,$L$25-$L28=0),-$C$8*$C$5/($G$25-$G28)/$AJ$10,"N.P."))</f>
        <v>N.P.</v>
      </c>
      <c r="Z28" s="630" t="s">
        <v>130</v>
      </c>
      <c r="AA28" s="629" t="str">
        <f>IF(OR($M$27-$M28&gt;1,$M$27-$M28&lt;-1),"N.P.",IF(AND($J$27-$J28=-1,$K$27-$K28=1,$L$27-$L28=0),-$C$8*$C$5/($G$27-$G28)/$AJ$10,"N.P."))</f>
        <v>N.P.</v>
      </c>
      <c r="AB28" s="434"/>
      <c r="AC28" s="434"/>
      <c r="AD28" s="434"/>
      <c r="AE28" s="434"/>
      <c r="AF28" s="434"/>
      <c r="AG28" s="434"/>
      <c r="AH28" s="435"/>
      <c r="AI28" s="557"/>
    </row>
    <row r="29" spans="1:35" ht="12.75">
      <c r="A29" s="46"/>
      <c r="B29" s="46"/>
      <c r="C29" s="468">
        <f t="shared" si="7"/>
        <v>0.00011043624544981867</v>
      </c>
      <c r="D29" s="378">
        <v>3.5E-13</v>
      </c>
      <c r="E29" s="157">
        <f>(((3.1415926535*(5/3)^(1/2)*M$4*D29*C$8)/C5)^2*A$17)/(B17+A28)^3</f>
        <v>1.2835807521576264E-05</v>
      </c>
      <c r="F29" s="385">
        <f>(((C5*C8*M4)/(8^(1/2)*3.1415926535*C10^2*C7*M3))^2)*(A17^3/(B17+A28))</f>
        <v>0.03759723539836664</v>
      </c>
      <c r="G29" s="494">
        <f>-($C$5*$H$6*$C$7^2/A17^2)*(1+($B$30^2*$C$7^2/A17^2)*(A17/(B17)-(M4/M6)*(1-A48*M4/M3)*A17*A28/((B17+A28)*B17)+2*M4^2/(M3*M6)*A48*B48*(A17*A28*A45/(B17*(B17+A28)^2))-0.75-E29-F29))</f>
        <v>-2.420771919960045E-12</v>
      </c>
      <c r="H29" s="282">
        <f t="shared" si="8"/>
        <v>97492.27047442635</v>
      </c>
      <c r="I29" s="82">
        <v>3</v>
      </c>
      <c r="J29" s="425">
        <v>2.5</v>
      </c>
      <c r="K29" s="425">
        <v>-0.5</v>
      </c>
      <c r="L29" s="425">
        <v>-0.5</v>
      </c>
      <c r="M29" s="589">
        <f t="shared" si="2"/>
        <v>1.5</v>
      </c>
      <c r="N29" s="602" t="s">
        <v>11</v>
      </c>
      <c r="O29" s="606" t="str">
        <f t="shared" si="3"/>
        <v>N.P.</v>
      </c>
      <c r="P29" s="606">
        <f t="shared" si="4"/>
        <v>1025.7221927387936</v>
      </c>
      <c r="Q29" s="606">
        <f t="shared" si="6"/>
        <v>1025.7224018820525</v>
      </c>
      <c r="R29" s="549" t="str">
        <f t="shared" si="5"/>
        <v>N.P.</v>
      </c>
      <c r="S29" s="547">
        <f t="shared" si="9"/>
        <v>6562.7117884257395</v>
      </c>
      <c r="T29" s="541">
        <f t="shared" si="10"/>
        <v>6562.712858911705</v>
      </c>
      <c r="U29" s="541" t="str">
        <f t="shared" si="11"/>
        <v>N.P.</v>
      </c>
      <c r="V29" s="541" t="str">
        <f t="shared" si="12"/>
        <v>N.P.</v>
      </c>
      <c r="W29" s="548">
        <f t="shared" si="13"/>
        <v>6562.869464834541</v>
      </c>
      <c r="X29" s="549">
        <f t="shared" si="14"/>
        <v>6562.869732468858</v>
      </c>
      <c r="Y29" s="611" t="str">
        <f aca="true" t="shared" si="15" ref="Y29:Y34">IF(OR($M$25-$M29&gt;1,$M$25-$M29&lt;-1),"N.P.",IF(AND($J$25-$J29=-1,$K$25-$K29=1,$L$25-$L29=0),-$C$8*$C$5/($G$25-$G29)/$AJ$10,"N.P."))</f>
        <v>N.P.</v>
      </c>
      <c r="Z29" s="635" t="str">
        <f aca="true" t="shared" si="16" ref="Z29:Z34">IF(OR($M$26-$M29&gt;1,$M$26-$M29&lt;-1),"N.P.",IF(AND($J$26-$J29=-1,$K$26-$K29=1,$L$26-$L29=0),-$C$8*$C$5/($G$26-$G29)/$AJ$10,"N.P."))</f>
        <v>N.P.</v>
      </c>
      <c r="AA29" s="636" t="str">
        <f aca="true" t="shared" si="17" ref="AA29:AA34">IF(OR($M$27-$M29&gt;1,$M$27-$M29&lt;-1),"N.P.",IF(AND($J$27-$J29=-1,$K$27-$K29=1,$L$27-$L29=0),-$C$8*$C$5/($G$27-$G29)/$AJ$10,"N.P."))</f>
        <v>N.P.</v>
      </c>
      <c r="AB29" s="635" t="str">
        <f aca="true" t="shared" si="18" ref="AB29:AB34">IF(OR($M$28-$M29&gt;1,$M$28-$M29&lt;-1),"N.P.",IF(AND($J$28-$J29=-1,$K$28-$K29=1,$L$28-$L29=0),-$C$8*$C$5/($G$28-$G29)/$AJ$10,"N.P."))</f>
        <v>N.P.</v>
      </c>
      <c r="AC29" s="85"/>
      <c r="AD29" s="85"/>
      <c r="AE29" s="529" t="s">
        <v>130</v>
      </c>
      <c r="AF29" s="85"/>
      <c r="AG29" s="85"/>
      <c r="AH29" s="160"/>
      <c r="AI29" s="555"/>
    </row>
    <row r="30" spans="1:35" ht="14.25">
      <c r="A30" s="241" t="s">
        <v>43</v>
      </c>
      <c r="B30" s="498">
        <f>(2*3.1415926535*C10^2)/(C5*C8)</f>
        <v>0.007297352553842522</v>
      </c>
      <c r="C30" s="468">
        <f t="shared" si="7"/>
        <v>0.001121881592553109</v>
      </c>
      <c r="D30" s="428">
        <v>3.5E-13</v>
      </c>
      <c r="E30" s="438">
        <f>(((3.1415926535*(5/3)^(1/2)*M$4*D30*C$8)/C$5)^2*A$17)/(B17+A28)^3</f>
        <v>1.2835807521576264E-05</v>
      </c>
      <c r="F30" s="439">
        <f>(((C$5*C$8*M$4)/(8^(1/2)*3.1415926535*C$10^2*C$7*M$3))^2)*(A$17^3/(B17+A28))</f>
        <v>0.03759723539836664</v>
      </c>
      <c r="G30" s="495">
        <f>-($C$5*$H$6*$C$7^2/A$17^2)*(1+($B$30^2*$C$7^2/A$17^2)*(A$17/(B17)-(M$4/M$6)*(1-A$48*M$4/M$3)*A$17*A28/((B17+A28)*B17)+2*M$4^2/(M$3*M$6)*A$48*B$48*(A$17*A28*A44/(B17*(B17+A28)^2))-0.75-E30-F30))</f>
        <v>-2.420771898022479E-12</v>
      </c>
      <c r="H30" s="431">
        <f t="shared" si="8"/>
        <v>97492.27058486259</v>
      </c>
      <c r="I30" s="432">
        <v>3</v>
      </c>
      <c r="J30" s="442">
        <v>2.5</v>
      </c>
      <c r="K30" s="442">
        <v>-0.5</v>
      </c>
      <c r="L30" s="525">
        <v>0.5</v>
      </c>
      <c r="M30" s="589">
        <f t="shared" si="2"/>
        <v>2.5</v>
      </c>
      <c r="N30" s="441" t="s">
        <v>137</v>
      </c>
      <c r="O30" s="605" t="str">
        <f t="shared" si="3"/>
        <v>N.P.</v>
      </c>
      <c r="P30" s="605" t="str">
        <f t="shared" si="4"/>
        <v>N.P.</v>
      </c>
      <c r="Q30" s="605">
        <f t="shared" si="6"/>
        <v>1025.722400720145</v>
      </c>
      <c r="R30" s="550" t="str">
        <f t="shared" si="5"/>
        <v>N.P.</v>
      </c>
      <c r="S30" s="544" t="str">
        <f t="shared" si="9"/>
        <v>N.P.</v>
      </c>
      <c r="T30" s="542">
        <f t="shared" si="10"/>
        <v>6562.712811334543</v>
      </c>
      <c r="U30" s="542" t="str">
        <f t="shared" si="11"/>
        <v>N.P.</v>
      </c>
      <c r="V30" s="542" t="str">
        <f t="shared" si="12"/>
        <v>N.P.</v>
      </c>
      <c r="W30" s="542">
        <f t="shared" si="13"/>
        <v>6562.86941725511</v>
      </c>
      <c r="X30" s="550" t="str">
        <f t="shared" si="14"/>
        <v>N.P.</v>
      </c>
      <c r="Y30" s="609" t="str">
        <f t="shared" si="15"/>
        <v>N.P.</v>
      </c>
      <c r="Z30" s="631" t="str">
        <f t="shared" si="16"/>
        <v>N.P.</v>
      </c>
      <c r="AA30" s="631" t="str">
        <f t="shared" si="17"/>
        <v>N.P.</v>
      </c>
      <c r="AB30" s="631" t="str">
        <f t="shared" si="18"/>
        <v>N.P.</v>
      </c>
      <c r="AC30" s="629" t="str">
        <f>IF(OR($M$29-$M30&gt;1,$M$29-$M30&lt;-1),"N.P.",IF(AND($J$29-$J30=-1,$K$29-$K30=1,$L$29-$L30=0),-$C$8*$C$5/($G$29-$G30)/$AJ$10,"N.P."))</f>
        <v>N.P.</v>
      </c>
      <c r="AD30" s="436"/>
      <c r="AE30" s="436"/>
      <c r="AF30" s="530" t="s">
        <v>130</v>
      </c>
      <c r="AG30" s="436"/>
      <c r="AH30" s="437"/>
      <c r="AI30" s="557"/>
    </row>
    <row r="31" spans="1:35" ht="12.75">
      <c r="A31" s="242" t="s">
        <v>72</v>
      </c>
      <c r="B31" s="499">
        <f>1/B30</f>
        <v>137.0359993739697</v>
      </c>
      <c r="C31" s="468">
        <f t="shared" si="7"/>
        <v>0.0001840603945311159</v>
      </c>
      <c r="D31" s="378">
        <v>1.325E-11</v>
      </c>
      <c r="E31" s="157">
        <f>(((3.1415926535*(5/3)^(1/2)*M$4*D31*C$8)/C$5)^2*A$17)/(B16+A27)^3</f>
        <v>0.01839580782046312</v>
      </c>
      <c r="F31" s="385">
        <f>(((C5*C8*M4)/(8^(1/2)*3.1415926535*C10^2*C7*M3))^2)*(A17^3/(B16+A27))</f>
        <v>0.03759723539836664</v>
      </c>
      <c r="G31" s="494">
        <f>-($C$5*$H$6*$C$7^2/A17^2)*(1+($B$30^2*$C$7^2/A17^2)*(A17/(B16)-(M4/M6)*(1-A48*M4/M3)*A17*A27/((B16+A27)*B16)+2*M4^2/(M3*M6)*A48*B48*(A17*A27*A44/(B16*(B16+A27)^2))-0.75-E31-F31))</f>
        <v>-2.4207716751667065E-12</v>
      </c>
      <c r="H31" s="282">
        <f t="shared" si="8"/>
        <v>97492.27170674418</v>
      </c>
      <c r="I31" s="82">
        <v>3</v>
      </c>
      <c r="J31" s="83">
        <v>1.5</v>
      </c>
      <c r="K31" s="583">
        <v>0.5</v>
      </c>
      <c r="L31" s="583">
        <v>0.5</v>
      </c>
      <c r="M31" s="589">
        <f t="shared" si="2"/>
        <v>2.5</v>
      </c>
      <c r="N31" s="602" t="s">
        <v>8</v>
      </c>
      <c r="O31" s="604">
        <f t="shared" si="3"/>
        <v>1025.7218905684135</v>
      </c>
      <c r="P31" s="606" t="str">
        <f t="shared" si="4"/>
        <v>N.P.</v>
      </c>
      <c r="Q31" s="606" t="str">
        <f t="shared" si="6"/>
        <v>N.P.</v>
      </c>
      <c r="R31" s="549" t="str">
        <f t="shared" si="5"/>
        <v>N.P.</v>
      </c>
      <c r="S31" s="546" t="str">
        <f t="shared" si="9"/>
        <v>N.P.</v>
      </c>
      <c r="T31" s="541" t="str">
        <f t="shared" si="10"/>
        <v>N.P.</v>
      </c>
      <c r="U31" s="548">
        <f t="shared" si="11"/>
        <v>6562.726458086949</v>
      </c>
      <c r="V31" s="541" t="str">
        <f t="shared" si="12"/>
        <v>N.P.</v>
      </c>
      <c r="W31" s="541" t="str">
        <f t="shared" si="13"/>
        <v>N.P.</v>
      </c>
      <c r="X31" s="549" t="str">
        <f t="shared" si="14"/>
        <v>N.P.</v>
      </c>
      <c r="Y31" s="611" t="str">
        <f t="shared" si="15"/>
        <v>N.P.</v>
      </c>
      <c r="Z31" s="636" t="str">
        <f t="shared" si="16"/>
        <v>N.P.</v>
      </c>
      <c r="AA31" s="636" t="str">
        <f t="shared" si="17"/>
        <v>N.P.</v>
      </c>
      <c r="AB31" s="636" t="str">
        <f t="shared" si="18"/>
        <v>N.P.</v>
      </c>
      <c r="AC31" s="637" t="s">
        <v>130</v>
      </c>
      <c r="AD31" s="635" t="str">
        <f>IF(OR($M$30-$M31&gt;1,$M$30-$M31&lt;-1),"N.P.",IF(AND($J$30-$J31=-1,$K$30-$K31=1,$L$30-$L31=0),-$C$8*$C$5/($G$30-$G31)/$AJ$10,"N.P."))</f>
        <v>N.P.</v>
      </c>
      <c r="AE31" s="85"/>
      <c r="AF31" s="85"/>
      <c r="AG31" s="85"/>
      <c r="AH31" s="160"/>
      <c r="AI31" s="555"/>
    </row>
    <row r="32" spans="1:35" ht="14.25">
      <c r="A32" s="98"/>
      <c r="B32" s="99"/>
      <c r="C32" s="468">
        <f t="shared" si="7"/>
        <v>0.034090739689418115</v>
      </c>
      <c r="D32" s="449">
        <v>1.325E-11</v>
      </c>
      <c r="E32" s="438">
        <f>(((3.1415926535*(5/3)^(1/2)*M$4*D32*C$8)/C$5)^2*A$17)/(B16+A27)^3</f>
        <v>0.01839580782046312</v>
      </c>
      <c r="F32" s="439">
        <f>(((C$5*C$8*M$4)/(8^(1/2)*3.1415926535*C$10^2*C$7*M$3))^2)*(A$17^3/(B16+A27))</f>
        <v>0.03759723539836664</v>
      </c>
      <c r="G32" s="495">
        <f>-($C$5*$H$6*$C$7^2/A$17^2)*(1+($B$30^2*$C$7^2/A$17^2)*(A$17/(B16)-(M$4/M$6)*(1-A$48*M$4/M$3)*A$17*A27/((B16+A27)*B16)+2*M$4^2/(M$3*M$6)*A$48*B$48*(A$17*A27*A45/(B16*(B16+A27)^2))-0.75-E32-F32))</f>
        <v>-2.420771638604096E-12</v>
      </c>
      <c r="H32" s="431">
        <f t="shared" si="8"/>
        <v>97492.27189080458</v>
      </c>
      <c r="I32" s="432">
        <v>3</v>
      </c>
      <c r="J32" s="433">
        <v>1.5</v>
      </c>
      <c r="K32" s="518">
        <v>0.5</v>
      </c>
      <c r="L32" s="524">
        <v>-0.5</v>
      </c>
      <c r="M32" s="589">
        <f t="shared" si="2"/>
        <v>1.5</v>
      </c>
      <c r="N32" s="601" t="s">
        <v>138</v>
      </c>
      <c r="O32" s="605">
        <f t="shared" si="3"/>
        <v>1025.7218886319035</v>
      </c>
      <c r="P32" s="605" t="str">
        <f t="shared" si="4"/>
        <v>N.P.</v>
      </c>
      <c r="Q32" s="605" t="str">
        <f t="shared" si="6"/>
        <v>N.P.</v>
      </c>
      <c r="R32" s="550">
        <f t="shared" si="5"/>
        <v>1025.7225160615637</v>
      </c>
      <c r="S32" s="544" t="str">
        <f t="shared" si="9"/>
        <v>N.P.</v>
      </c>
      <c r="T32" s="542" t="str">
        <f t="shared" si="10"/>
        <v>N.P.</v>
      </c>
      <c r="U32" s="542">
        <f t="shared" si="11"/>
        <v>6562.726378791352</v>
      </c>
      <c r="V32" s="542">
        <f t="shared" si="12"/>
        <v>6562.729590264568</v>
      </c>
      <c r="W32" s="542" t="str">
        <f t="shared" si="13"/>
        <v>N.P.</v>
      </c>
      <c r="X32" s="550" t="str">
        <f t="shared" si="14"/>
        <v>N.P.</v>
      </c>
      <c r="Y32" s="609" t="str">
        <f t="shared" si="15"/>
        <v>N.P.</v>
      </c>
      <c r="Z32" s="631" t="str">
        <f t="shared" si="16"/>
        <v>N.P.</v>
      </c>
      <c r="AA32" s="631" t="str">
        <f t="shared" si="17"/>
        <v>N.P.</v>
      </c>
      <c r="AB32" s="631" t="str">
        <f t="shared" si="18"/>
        <v>N.P.</v>
      </c>
      <c r="AC32" s="629" t="str">
        <f>IF(OR($M$29-$M32&gt;1,$M$29-$M32&lt;-1),"N.P.",IF(AND($J$29-$J32=-1,$K$29-$K32=1,$L$29-$L32=0),-$C$8*$C$5/($G$29-$G32)/$AJ$10,"N.P."))</f>
        <v>N.P.</v>
      </c>
      <c r="AD32" s="630" t="s">
        <v>130</v>
      </c>
      <c r="AE32" s="629" t="str">
        <f>IF(OR($M$31-$M32&gt;1,$M$31-$M32&lt;-1),"N.P.",IF(AND($J$31-$J32=-1,$K$31-$K32=1,$L$31-$L32=0),-$C$8*$C$5/($G$31-$G32)/$AJ$10,"N.P."))</f>
        <v>N.P.</v>
      </c>
      <c r="AF32" s="434"/>
      <c r="AG32" s="434"/>
      <c r="AH32" s="435"/>
      <c r="AI32" s="556"/>
    </row>
    <row r="33" spans="1:35" ht="12.75">
      <c r="A33" s="711" t="s">
        <v>152</v>
      </c>
      <c r="B33" s="706"/>
      <c r="C33" s="468">
        <f t="shared" si="7"/>
        <v>4.9082766054198146E-05</v>
      </c>
      <c r="D33" s="378">
        <v>1.275E-11</v>
      </c>
      <c r="E33" s="157">
        <f>(((3.1415926535*(5/3)^(1/2)*M4*D33*C8)/C5)^2*A17)/(B17+A27)^3</f>
        <v>0.005047004590116382</v>
      </c>
      <c r="F33" s="385">
        <f>(((C5*C8*M4)/(8^(1/2)*3.1415926535*C10^2*C7*M3))^2)*(A17^3/(B17+A27))</f>
        <v>0.025064823598911094</v>
      </c>
      <c r="G33" s="494">
        <f>-($C$5*$H$6*$C$7^2/A$17^2)*(1+($B$30^2*$C$7^2/A17^2)*(A17/(B17)-(M4/M6)*(1-A48*M4/M3)*A17*A27/((B17+A27)*B17)+2*M4^2/(M3*M6)*A48*B48*(A17*A27*A44/(B17*(B17+A27)^2))-0.75-E33-F33))</f>
        <v>-2.420764866661205E-12</v>
      </c>
      <c r="H33" s="282">
        <f t="shared" si="8"/>
        <v>97492.30598154427</v>
      </c>
      <c r="I33" s="82">
        <v>3</v>
      </c>
      <c r="J33" s="83">
        <v>2.5</v>
      </c>
      <c r="K33" s="583">
        <v>0.5</v>
      </c>
      <c r="L33" s="583">
        <v>0.5</v>
      </c>
      <c r="M33" s="589">
        <f t="shared" si="2"/>
        <v>3.5</v>
      </c>
      <c r="N33" s="602" t="s">
        <v>10</v>
      </c>
      <c r="O33" s="606" t="str">
        <f t="shared" si="3"/>
        <v>N.P.</v>
      </c>
      <c r="P33" s="606" t="str">
        <f t="shared" si="4"/>
        <v>N.P.</v>
      </c>
      <c r="Q33" s="606" t="str">
        <f t="shared" si="6"/>
        <v>N.P.</v>
      </c>
      <c r="R33" s="549" t="str">
        <f t="shared" si="5"/>
        <v>N.P.</v>
      </c>
      <c r="S33" s="546" t="str">
        <f t="shared" si="9"/>
        <v>N.P.</v>
      </c>
      <c r="T33" s="541" t="str">
        <f t="shared" si="10"/>
        <v>N.P.</v>
      </c>
      <c r="U33" s="541" t="str">
        <f t="shared" si="11"/>
        <v>N.P.</v>
      </c>
      <c r="V33" s="541" t="str">
        <f t="shared" si="12"/>
        <v>N.P.</v>
      </c>
      <c r="W33" s="548">
        <f t="shared" si="13"/>
        <v>6562.854167277564</v>
      </c>
      <c r="X33" s="549" t="str">
        <f t="shared" si="14"/>
        <v>N.P.</v>
      </c>
      <c r="Y33" s="611" t="str">
        <f t="shared" si="15"/>
        <v>N.P.</v>
      </c>
      <c r="Z33" s="636" t="str">
        <f t="shared" si="16"/>
        <v>N.P.</v>
      </c>
      <c r="AA33" s="636" t="str">
        <f t="shared" si="17"/>
        <v>N.P.</v>
      </c>
      <c r="AB33" s="636" t="str">
        <f t="shared" si="18"/>
        <v>N.P.</v>
      </c>
      <c r="AC33" s="636" t="str">
        <f>IF(OR($M$29-$M33&gt;1,$M$29-$M33&lt;-1),"N.P.",IF(AND($J$29-$J33=-1,$K$29-$K33=1,$L$29-$L33=0),-$C$8*$C$5/($G$29-$G33)/$AJ$10,"N.P."))</f>
        <v>N.P.</v>
      </c>
      <c r="AD33" s="635" t="str">
        <f>IF(OR($M$30-$M33&gt;1,$M$30-$M33&lt;-1),"N.P.",IF(AND($J$30-$J33=-1,$K$30-$K33=1,$L$30-$L33=0),-$C$8*$C$5/($G$30-$G33)/$AJ$10,"N.P."))</f>
        <v>N.P.</v>
      </c>
      <c r="AE33" s="636" t="str">
        <f>IF(OR($M$31-$M33&gt;1,$M$31-$M33&lt;-1),"N.P.",IF(AND($J$31-$J33=-1,$K$31-$K33=1,$L$31-$L33=0),-$C$8*$C$5/($G$31-$G33)/$AJ$10,"N.P."))</f>
        <v>N.P.</v>
      </c>
      <c r="AF33" s="635" t="str">
        <f>IF(OR($M$32-$M33&gt;1,$M$32-$M33&lt;-1),"N.P.",IF(AND($J$32-$J33=-1,$K$32-$K33=1,$L$32-$L33=0),-$C$8*$C$5/($G$32-$G33)/$AJ$10,"N.P."))</f>
        <v>N.P.</v>
      </c>
      <c r="AG33" s="85"/>
      <c r="AH33" s="160"/>
      <c r="AI33" s="555"/>
    </row>
    <row r="34" spans="1:35" ht="15" thickBot="1">
      <c r="A34" s="100" t="s">
        <v>40</v>
      </c>
      <c r="B34" s="466">
        <v>10937.995</v>
      </c>
      <c r="C34" s="503"/>
      <c r="D34" s="457">
        <v>1.275E-11</v>
      </c>
      <c r="E34" s="458">
        <f>(((3.1415926535*(5/3)^(1/2)*M$4*D34*C$8)/C$5)^2*A$17)/(B17+A27)^3</f>
        <v>0.005047004590116382</v>
      </c>
      <c r="F34" s="509">
        <f>(((C$5*C$8*M$4)/(8^(1/2)*3.1415926535*C$10^2*C$7*M$3))^2)*(A$17^3/(B17+A27))</f>
        <v>0.025064823598911094</v>
      </c>
      <c r="G34" s="496">
        <f>-($C$5*$H$6*$C$7^2/A$17^2)*(1+($B$30^2*$C$7^2/A$17^2)*(A$17/(B17)-(M$4/M$6)*(1-A$48*M$4/M$3)*A$17*A27/((B17+A27)*(B17))+2*M$4^2/(M$3*M$6)*A$48*B$48*(A$17*A27*A45/(B17*(B17+A27)^2))-0.75-E34-F34))</f>
        <v>-2.420764856911175E-12</v>
      </c>
      <c r="H34" s="459">
        <f>((G34-$G$15)*624150948000)*8065.541</f>
        <v>97492.30603062703</v>
      </c>
      <c r="I34" s="460">
        <v>3</v>
      </c>
      <c r="J34" s="461">
        <v>2.5</v>
      </c>
      <c r="K34" s="517">
        <v>0.5</v>
      </c>
      <c r="L34" s="523">
        <v>-0.5</v>
      </c>
      <c r="M34" s="590">
        <f t="shared" si="2"/>
        <v>2.5</v>
      </c>
      <c r="N34" s="603" t="s">
        <v>156</v>
      </c>
      <c r="O34" s="545" t="str">
        <f t="shared" si="3"/>
        <v>N.P.</v>
      </c>
      <c r="P34" s="543" t="str">
        <f t="shared" si="4"/>
        <v>N.P.</v>
      </c>
      <c r="Q34" s="543" t="str">
        <f t="shared" si="6"/>
        <v>N.P.</v>
      </c>
      <c r="R34" s="551" t="str">
        <f t="shared" si="5"/>
        <v>N.P.</v>
      </c>
      <c r="S34" s="545" t="str">
        <f t="shared" si="9"/>
        <v>N.P.</v>
      </c>
      <c r="T34" s="543" t="str">
        <f t="shared" si="10"/>
        <v>N.P.</v>
      </c>
      <c r="U34" s="543" t="str">
        <f t="shared" si="11"/>
        <v>N.P.</v>
      </c>
      <c r="V34" s="543" t="str">
        <f t="shared" si="12"/>
        <v>N.P.</v>
      </c>
      <c r="W34" s="543">
        <f t="shared" si="13"/>
        <v>6562.854146131246</v>
      </c>
      <c r="X34" s="551">
        <f t="shared" si="14"/>
        <v>6562.854413764315</v>
      </c>
      <c r="Y34" s="610" t="str">
        <f t="shared" si="15"/>
        <v>N.P.</v>
      </c>
      <c r="Z34" s="632" t="str">
        <f t="shared" si="16"/>
        <v>N.P.</v>
      </c>
      <c r="AA34" s="632" t="str">
        <f t="shared" si="17"/>
        <v>N.P.</v>
      </c>
      <c r="AB34" s="632" t="str">
        <f t="shared" si="18"/>
        <v>N.P.</v>
      </c>
      <c r="AC34" s="632" t="str">
        <f>IF(OR($M$29-$M34&gt;1,$M$29-$M34&lt;-1),"N.P.",IF(AND($J$29-$J34=-1,$K$29-$K34=1,$L$29-$L34=0),-$C$8*$C$5/($G$29-$G34)/$AJ$10,"N.P."))</f>
        <v>N.P.</v>
      </c>
      <c r="AD34" s="632" t="str">
        <f>IF(OR($M$30-$M34&gt;1,$M$30-$M34&lt;-1),"N.P.",IF(AND($J$30-$J34=-1,$K$30-$K34=1,$L$30-$L34=0),-$C$8*$C$5/($G$30-$G34)/$AJ$10,"N.P."))</f>
        <v>N.P.</v>
      </c>
      <c r="AE34" s="632" t="str">
        <f>IF(OR($M$31-$M34&gt;1,$M$31-$M34&lt;-1),"N.P.",IF(AND($J$31-$J34=-1,$K$31-$K34=1,$L$31-$L34=0),-$C$8*$C$5/($G$31-$G34)/$AJ$10,"N.P."))</f>
        <v>N.P.</v>
      </c>
      <c r="AF34" s="632" t="str">
        <f>IF(OR($M$32-$M34&gt;1,$M$32-$M34&lt;-1),"N.P.",IF(AND($J$32-$J34=-1,$K$32-$K34=1,$L$32-$L34=0),-$C$8*$C$5/($G$32-$G34)/$AJ$10,"N.P."))</f>
        <v>N.P.</v>
      </c>
      <c r="AG34" s="638" t="str">
        <f>IF(OR($M$33-$M34&gt;1,$M$33-$M34&lt;-1),"N.P.",IF(AND($J$33-$J34=-1,$K$33-$K34=1,$L$33-$L34=0),-$C$8*$C$5/($G$33-$G34)/$AJ$10,"N.P."))</f>
        <v>N.P.</v>
      </c>
      <c r="AH34" s="469"/>
      <c r="AI34" s="554"/>
    </row>
    <row r="35" spans="1:34" ht="13.5" thickTop="1">
      <c r="A35" s="100" t="s">
        <v>41</v>
      </c>
      <c r="B35" s="467">
        <f>C9/B34</f>
        <v>9142.44338199094</v>
      </c>
      <c r="C35" s="6"/>
      <c r="D35" s="48"/>
      <c r="E35" s="46"/>
      <c r="F35" s="46"/>
      <c r="G35" s="46"/>
      <c r="H35" s="46"/>
      <c r="I35" s="46"/>
      <c r="M35" s="612"/>
      <c r="N35" s="216"/>
      <c r="O35" s="216"/>
      <c r="P35" s="216"/>
      <c r="Q35" s="216"/>
      <c r="R35" s="216"/>
      <c r="S35" s="7"/>
      <c r="T35" s="7"/>
      <c r="U35" s="7"/>
      <c r="V35" s="7"/>
      <c r="W35" s="7"/>
      <c r="X35" s="7"/>
      <c r="Y35" s="216"/>
      <c r="Z35" s="216"/>
      <c r="AA35" s="216"/>
      <c r="AB35" s="7"/>
      <c r="AC35" s="216"/>
      <c r="AD35" s="7"/>
      <c r="AE35" s="216"/>
      <c r="AF35" s="216"/>
      <c r="AG35" s="216"/>
      <c r="AH35" s="553"/>
    </row>
    <row r="36" spans="1:36" ht="12.75">
      <c r="A36" s="56"/>
      <c r="B36" s="56"/>
      <c r="C36" s="6"/>
      <c r="AB36" s="170"/>
      <c r="AC36" s="170"/>
      <c r="AD36" s="170"/>
      <c r="AE36" s="170"/>
      <c r="AF36" s="170"/>
      <c r="AG36" s="170"/>
      <c r="AH36" s="170"/>
      <c r="AI36" s="170"/>
      <c r="AJ36" s="170"/>
    </row>
    <row r="37" spans="1:4" ht="12.75">
      <c r="A37" s="711" t="s">
        <v>153</v>
      </c>
      <c r="B37" s="711"/>
      <c r="C37" s="6"/>
      <c r="D37" s="1"/>
    </row>
    <row r="38" spans="1:3" ht="12.75">
      <c r="A38" s="100" t="s">
        <v>41</v>
      </c>
      <c r="B38" s="100">
        <v>12821.4874</v>
      </c>
      <c r="C38" s="6"/>
    </row>
    <row r="39" spans="1:4" ht="12.75">
      <c r="A39" s="96" t="s">
        <v>40</v>
      </c>
      <c r="B39" s="101">
        <f>C9/B38</f>
        <v>7799.407110909769</v>
      </c>
      <c r="C39" s="6"/>
      <c r="D39" s="1"/>
    </row>
    <row r="40" spans="1:61" ht="12.75">
      <c r="A40" s="102"/>
      <c r="B40" s="44"/>
      <c r="C40" s="6"/>
      <c r="D40" s="1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216"/>
    </row>
    <row r="41" spans="1:4" ht="12.75">
      <c r="A41" s="79" t="s">
        <v>75</v>
      </c>
      <c r="B41" s="44"/>
      <c r="C41" s="6"/>
      <c r="D41" s="1"/>
    </row>
    <row r="42" spans="1:4" ht="12.75">
      <c r="A42" s="86" t="s">
        <v>73</v>
      </c>
      <c r="B42" s="58"/>
      <c r="C42" s="6"/>
      <c r="D42" s="1"/>
    </row>
    <row r="43" spans="1:4" ht="15" customHeight="1">
      <c r="A43" s="502" t="s">
        <v>141</v>
      </c>
      <c r="B43" s="44"/>
      <c r="C43" s="6"/>
      <c r="D43" s="1"/>
    </row>
    <row r="44" spans="1:4" ht="12.75">
      <c r="A44" s="94">
        <v>0.5</v>
      </c>
      <c r="B44" s="77" t="s">
        <v>47</v>
      </c>
      <c r="C44" s="6"/>
      <c r="D44" s="1"/>
    </row>
    <row r="45" spans="1:3" ht="12.75">
      <c r="A45" s="95">
        <v>-0.5</v>
      </c>
      <c r="B45" s="96" t="s">
        <v>48</v>
      </c>
      <c r="C45" s="6"/>
    </row>
    <row r="46" spans="1:3" ht="12.75" customHeight="1">
      <c r="A46" s="46"/>
      <c r="B46" s="46"/>
      <c r="C46" s="6"/>
    </row>
    <row r="47" spans="1:3" ht="15" customHeight="1">
      <c r="A47" s="500" t="s">
        <v>77</v>
      </c>
      <c r="B47" s="501" t="s">
        <v>78</v>
      </c>
      <c r="C47" s="6"/>
    </row>
    <row r="48" spans="1:6" ht="12.75">
      <c r="A48" s="288">
        <v>2.79275</v>
      </c>
      <c r="B48" s="411">
        <v>3.3548035</v>
      </c>
      <c r="C48" s="6"/>
      <c r="D48" s="1"/>
      <c r="E48" s="1"/>
      <c r="F48" s="1"/>
    </row>
    <row r="49" spans="1:6" ht="13.5" thickBot="1">
      <c r="A49" s="569"/>
      <c r="B49" s="568"/>
      <c r="C49" s="567"/>
      <c r="D49" s="224"/>
      <c r="E49" s="224"/>
      <c r="F49" s="224"/>
    </row>
    <row r="50" spans="1:6" ht="13.5" thickTop="1">
      <c r="A50" s="757" t="s">
        <v>175</v>
      </c>
      <c r="B50" s="758"/>
      <c r="C50" s="758"/>
      <c r="D50" s="849" t="s">
        <v>181</v>
      </c>
      <c r="E50" s="850"/>
      <c r="F50" s="851"/>
    </row>
    <row r="51" spans="1:6" ht="12.75">
      <c r="A51" s="521" t="s">
        <v>173</v>
      </c>
      <c r="B51" s="571" t="s">
        <v>131</v>
      </c>
      <c r="C51" s="28" t="s">
        <v>171</v>
      </c>
      <c r="D51" s="575" t="s">
        <v>158</v>
      </c>
      <c r="E51" s="333" t="s">
        <v>159</v>
      </c>
      <c r="F51" s="334" t="s">
        <v>160</v>
      </c>
    </row>
    <row r="52" spans="1:6" ht="12.75">
      <c r="A52" s="560">
        <f>O17</f>
        <v>21.106105493757138</v>
      </c>
      <c r="B52" s="607">
        <f>IF(OR(A52="",A52="N.P."),"No Input",C8/(A52*1000000))</f>
        <v>1420.4063278688436</v>
      </c>
      <c r="C52" s="522" t="s">
        <v>139</v>
      </c>
      <c r="D52" s="576">
        <f>IF(B53&gt;0,B53,"")</f>
        <v>456807654.4307081</v>
      </c>
      <c r="E52" s="579">
        <f>IF(B57&gt;0,B57,"")</f>
        <v>456807408.81214446</v>
      </c>
      <c r="F52" s="561">
        <f>IF(OR(B53="No Input",B57="No Input"),"No Input",D52-E52)</f>
        <v>245.61856365203857</v>
      </c>
    </row>
    <row r="53" spans="1:6" ht="12.75">
      <c r="A53" s="560">
        <f>U26</f>
        <v>6562.772210409067</v>
      </c>
      <c r="B53" s="607">
        <f>IF(OR(A53="",A53="N.P."),"No Input",C8/(A54*1000000))</f>
        <v>456807654.4307081</v>
      </c>
      <c r="C53" s="574" t="s">
        <v>142</v>
      </c>
      <c r="D53" s="578"/>
      <c r="E53" s="1"/>
      <c r="F53" s="222"/>
    </row>
    <row r="54" spans="1:6" ht="12.75">
      <c r="A54" s="572">
        <f>IF(OR(A53="N.P.",A53=""),0,A53/100000000)</f>
        <v>6.562772210409067E-05</v>
      </c>
      <c r="B54" s="48"/>
      <c r="C54" s="360"/>
      <c r="D54" s="221"/>
      <c r="E54" s="1"/>
      <c r="F54" s="222"/>
    </row>
    <row r="55" spans="1:6" ht="12.75">
      <c r="A55" s="573"/>
      <c r="B55" s="48"/>
      <c r="C55" s="360"/>
      <c r="D55" s="221"/>
      <c r="E55" s="1"/>
      <c r="F55" s="222"/>
    </row>
    <row r="56" spans="1:6" ht="12.75">
      <c r="A56" s="4" t="s">
        <v>174</v>
      </c>
      <c r="B56" s="570" t="s">
        <v>131</v>
      </c>
      <c r="C56" s="519" t="s">
        <v>171</v>
      </c>
      <c r="D56" s="221"/>
      <c r="E56" s="824" t="s">
        <v>172</v>
      </c>
      <c r="F56" s="222"/>
    </row>
    <row r="57" spans="1:6" ht="12.75">
      <c r="A57" s="560">
        <f>V25</f>
        <v>6562.775739114279</v>
      </c>
      <c r="B57" s="607">
        <f>IF(OR(A57="",A57="N.P."),"No Input",C8/(A58*1000000))</f>
        <v>456807408.81214446</v>
      </c>
      <c r="C57" s="574" t="s">
        <v>142</v>
      </c>
      <c r="D57" s="221"/>
      <c r="E57" s="825"/>
      <c r="F57" s="222"/>
    </row>
    <row r="58" spans="1:6" ht="12.75">
      <c r="A58" s="562">
        <f>IF(A57="N.P.","",A57/100000000)</f>
        <v>6.562775739114279E-05</v>
      </c>
      <c r="B58" s="48"/>
      <c r="C58" s="360"/>
      <c r="D58" s="221"/>
      <c r="E58" s="825"/>
      <c r="F58" s="222"/>
    </row>
    <row r="59" spans="1:6" ht="12.75">
      <c r="A59" s="563"/>
      <c r="B59" s="48"/>
      <c r="C59" s="360"/>
      <c r="D59" s="221"/>
      <c r="E59" s="826"/>
      <c r="F59" s="222"/>
    </row>
    <row r="60" spans="1:6" ht="12.75">
      <c r="A60" s="841" t="s">
        <v>180</v>
      </c>
      <c r="B60" s="842"/>
      <c r="C60" s="842"/>
      <c r="D60" s="221"/>
      <c r="E60" s="1"/>
      <c r="F60" s="222"/>
    </row>
    <row r="61" spans="1:6" ht="12.75">
      <c r="A61" s="564" t="s">
        <v>143</v>
      </c>
      <c r="B61" s="446" t="s">
        <v>144</v>
      </c>
      <c r="C61" s="15" t="s">
        <v>145</v>
      </c>
      <c r="D61" s="221"/>
      <c r="E61" s="1"/>
      <c r="F61" s="222"/>
    </row>
    <row r="62" spans="1:6" ht="13.5" thickBot="1">
      <c r="A62" s="565"/>
      <c r="B62" s="566"/>
      <c r="C62" s="577" t="str">
        <f>IF(OR(A62="",B62=""),"No Input",-(A62-B62)/(C5*1000000))</f>
        <v>No Input</v>
      </c>
      <c r="D62" s="223"/>
      <c r="E62" s="224"/>
      <c r="F62" s="225"/>
    </row>
    <row r="63" ht="13.5" thickTop="1">
      <c r="C63" s="447"/>
    </row>
  </sheetData>
  <sheetProtection password="F5F5" sheet="1" objects="1" scenarios="1"/>
  <mergeCells count="37">
    <mergeCell ref="A60:C60"/>
    <mergeCell ref="L8:N8"/>
    <mergeCell ref="A33:B33"/>
    <mergeCell ref="A37:B37"/>
    <mergeCell ref="L9:N9"/>
    <mergeCell ref="L10:N10"/>
    <mergeCell ref="C12:C14"/>
    <mergeCell ref="G10:H10"/>
    <mergeCell ref="D50:F50"/>
    <mergeCell ref="A50:C50"/>
    <mergeCell ref="D13:D14"/>
    <mergeCell ref="E13:E14"/>
    <mergeCell ref="F13:F14"/>
    <mergeCell ref="D12:F12"/>
    <mergeCell ref="K2:L2"/>
    <mergeCell ref="M2:N2"/>
    <mergeCell ref="M3:N3"/>
    <mergeCell ref="A5:A10"/>
    <mergeCell ref="M5:N5"/>
    <mergeCell ref="H6:I6"/>
    <mergeCell ref="M6:N6"/>
    <mergeCell ref="G9:H9"/>
    <mergeCell ref="A4:F4"/>
    <mergeCell ref="M4:N4"/>
    <mergeCell ref="E56:E59"/>
    <mergeCell ref="T5:V5"/>
    <mergeCell ref="P6:R6"/>
    <mergeCell ref="F6:G6"/>
    <mergeCell ref="G12:H13"/>
    <mergeCell ref="I12:M13"/>
    <mergeCell ref="P3:R3"/>
    <mergeCell ref="P5:R5"/>
    <mergeCell ref="P2:R2"/>
    <mergeCell ref="S2:V2"/>
    <mergeCell ref="T3:V3"/>
    <mergeCell ref="T4:V4"/>
    <mergeCell ref="P4:R4"/>
  </mergeCells>
  <printOptions horizontalCentered="1" verticalCentered="1"/>
  <pageMargins left="0.4724409448818898" right="0.45" top="0.984251968503937" bottom="0.984251968503937" header="0.4724409448818898" footer="0.5118110236220472"/>
  <pageSetup fitToWidth="2" fitToHeight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G.Bass</dc:creator>
  <cp:keywords/>
  <dc:description/>
  <cp:lastModifiedBy>Peter G.Bass</cp:lastModifiedBy>
  <cp:lastPrinted>2012-03-12T17:19:33Z</cp:lastPrinted>
  <dcterms:created xsi:type="dcterms:W3CDTF">2006-09-10T19:37:42Z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